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195" windowHeight="8700" activeTab="0"/>
  </bookViews>
  <sheets>
    <sheet name="Hoja1" sheetId="1" r:id="rId1"/>
  </sheets>
  <definedNames>
    <definedName name="_xlnm.Print_Area" localSheetId="0">'Hoja1'!$A$1:$R$32</definedName>
  </definedNames>
  <calcPr fullCalcOnLoad="1"/>
</workbook>
</file>

<file path=xl/sharedStrings.xml><?xml version="1.0" encoding="utf-8"?>
<sst xmlns="http://schemas.openxmlformats.org/spreadsheetml/2006/main" count="395" uniqueCount="155">
  <si>
    <t>ESTANDAR DV-EST00</t>
  </si>
  <si>
    <t>ESTANDAR DV-EST00 RPT</t>
  </si>
  <si>
    <t>CORREDERA DV-COR20</t>
  </si>
  <si>
    <t>CORREDERA DV-COR20 RPT</t>
  </si>
  <si>
    <t>PRACTICABLE DV-PR10</t>
  </si>
  <si>
    <t>PRACTICABLE DV-PR10 RPT</t>
  </si>
  <si>
    <t>PRACTICABLE DV-PR20</t>
  </si>
  <si>
    <t>PRACTICABLE DV-PR20 RPT</t>
  </si>
  <si>
    <t>ABATIBLE DV-AB10</t>
  </si>
  <si>
    <t>ABATIBLE DV-AB10 RPT</t>
  </si>
  <si>
    <t>OSCILOBATIENTE DV-OB10</t>
  </si>
  <si>
    <t>OSCILOBATIENTE DV-OB10 RPT</t>
  </si>
  <si>
    <t>OSCILOBATIENTE DV-OB20</t>
  </si>
  <si>
    <t>OSCILOBATIENTE DV-OB20 RPT</t>
  </si>
  <si>
    <t>CORREDERA FRIA</t>
  </si>
  <si>
    <t>Uf1</t>
  </si>
  <si>
    <t>Uf2i</t>
  </si>
  <si>
    <t>Uf2e</t>
  </si>
  <si>
    <t>Uf3i</t>
  </si>
  <si>
    <t>Uf3e</t>
  </si>
  <si>
    <t>Uf4</t>
  </si>
  <si>
    <t>Uf5i</t>
  </si>
  <si>
    <t>Uf5e</t>
  </si>
  <si>
    <t>Af1</t>
  </si>
  <si>
    <t>Af2i</t>
  </si>
  <si>
    <t>Af2e</t>
  </si>
  <si>
    <t>Af3i</t>
  </si>
  <si>
    <t>Af3e</t>
  </si>
  <si>
    <t>Af4</t>
  </si>
  <si>
    <t>Af5i</t>
  </si>
  <si>
    <t>Af5e</t>
  </si>
  <si>
    <t>Usb</t>
  </si>
  <si>
    <t>Asb</t>
  </si>
  <si>
    <t>Ufi</t>
  </si>
  <si>
    <t>Afi</t>
  </si>
  <si>
    <t>Afi x Ufi</t>
  </si>
  <si>
    <t>Σ Afi x Ufi</t>
  </si>
  <si>
    <t>Asbi</t>
  </si>
  <si>
    <t>Usbi</t>
  </si>
  <si>
    <t>Asbi x Usbi</t>
  </si>
  <si>
    <t>Σ Asbi x Usbi</t>
  </si>
  <si>
    <t>Σ Afi</t>
  </si>
  <si>
    <t>Σ Asbi</t>
  </si>
  <si>
    <t>Σ (Afi x Ufi) + Σ (Asbi x Usbi)</t>
  </si>
  <si>
    <t>Σ Afi + Σ Asbi</t>
  </si>
  <si>
    <t xml:space="preserve">UH,m = </t>
  </si>
  <si>
    <t>=</t>
  </si>
  <si>
    <t>CORREDERA RPT</t>
  </si>
  <si>
    <t>PRACTICABLE FRIA</t>
  </si>
  <si>
    <t xml:space="preserve"> CORREDERA DV-COR20</t>
  </si>
  <si>
    <t xml:space="preserve"> ESTANDAR DV-EST00</t>
  </si>
  <si>
    <t>PRACTICABLE RPT</t>
  </si>
  <si>
    <t>Af2</t>
  </si>
  <si>
    <t>Af3</t>
  </si>
  <si>
    <t>Af5</t>
  </si>
  <si>
    <t>Uf2</t>
  </si>
  <si>
    <t>Uf3</t>
  </si>
  <si>
    <t>Uf5</t>
  </si>
  <si>
    <t>FM = Fracción del hueco ocupada por el marco</t>
  </si>
  <si>
    <t>LISTAS y valores</t>
  </si>
  <si>
    <t>PRODUCTOS (UH,m)</t>
  </si>
  <si>
    <t>MODELOS CAJÓN (Usb)</t>
  </si>
  <si>
    <t>VIDRIOS (Ug)</t>
  </si>
  <si>
    <t xml:space="preserve">Ventana de 1 hoja practicable para la apertura completa del conjunto. </t>
  </si>
  <si>
    <t>El sistema DOBLEVENTANA® ESTANDAR DV-EST00 consta de un único sistema de apertura tipo abisagrado, que posibilita la apertura de todo el conjunto, permitiendo acceder comodamente a la parte exterior de la persiana para su limpieza</t>
  </si>
  <si>
    <t>Ventana de 1 hoja practicable para la apertura completa del conjunto, con rotura de puente térmico.</t>
  </si>
  <si>
    <r>
      <t>El sistema DOBLEVENTANA</t>
    </r>
    <r>
      <rPr>
        <b/>
        <sz val="10"/>
        <rFont val="Arial"/>
        <family val="0"/>
      </rPr>
      <t>®</t>
    </r>
    <r>
      <rPr>
        <sz val="10"/>
        <rFont val="Arial"/>
        <family val="0"/>
      </rPr>
      <t> ESTANDAR DV-EST00 RPT consta de un único sistema de apertura tipo abisagrado con rotura de puente térmico, que posibilita la apertura de todo el conjunto, permitiendo acceder cómodamente a la parte exterior de la persiana para su limpieza.</t>
    </r>
  </si>
  <si>
    <t>Ventana de 2 hojas corredera + 1 hoja practicable para la apertura completa del conjunto</t>
  </si>
  <si>
    <t>El sistema DOBLEVENTANA® CORREDERA DV-COR20 consta de dos sistemas de apertura totalmente independientes: el primero, de tipo corredera, se compone de 2 hojas que se deslizan sobre unas guías horizontales o verticales; el segundo, de tipo abisagrado, envuelve al anterior y posibilita la apertura de todo el conjunto, permitiendo acceder cómodamente a la parte exterior de la persiana para su limpieza</t>
  </si>
  <si>
    <t>Ventana de 2 hojas corredera + 1 hoja practicable para la apertura completa del conjunto, con rotura de puente térmico</t>
  </si>
  <si>
    <t>El sistema DOBLEVENTANA® CORREDERA DV-COR20 RPT consta de dos sistemas de apertura totalmente independientes, ambos con rotura de puente térmico: el primero, de tipo corredera, se compone de 2 hojas que se deslizan sobre unas guías horizontales o verticales; el segundo, de tipo abisagrado, envuelve al anterior y posibilita la apertura de todo el conjunto, permitiendo acceder cómodamente a la parte exterior de la persiana para su limpieza</t>
  </si>
  <si>
    <t>Ventana de 1 hoja practicable + 1 hoja practicable para la apertura completa del conjunto</t>
  </si>
  <si>
    <r>
      <t>El sistema DOBLEVENTANA</t>
    </r>
    <r>
      <rPr>
        <b/>
        <sz val="10"/>
        <rFont val="Arial"/>
        <family val="0"/>
      </rPr>
      <t>®</t>
    </r>
    <r>
      <rPr>
        <sz val="10"/>
        <rFont val="Arial"/>
        <family val="0"/>
      </rPr>
      <t> PRACTICABLE DV-PR10 consta de dos sistemas de apertura totalmente independientes: el primero, de tipo practicable, se compone de 1 hoja abisagrada que gira sobre un eje vertical; el segundo, también de tipo abisagrado, envuelve al anterior y posibilita la apertura de todo el conjunto, permitiendo acceder cómodamente a la parte exterior de la persiana para su limpieza</t>
    </r>
  </si>
  <si>
    <t>Ventana de 1 hoja practicable + 1 hoja practicable para la apertura completa del conjunto, con rotura de puente térmico</t>
  </si>
  <si>
    <r>
      <t>El sistema DOBLEVENTANA</t>
    </r>
    <r>
      <rPr>
        <b/>
        <sz val="10"/>
        <rFont val="Arial"/>
        <family val="0"/>
      </rPr>
      <t>®</t>
    </r>
    <r>
      <rPr>
        <sz val="10"/>
        <rFont val="Arial"/>
        <family val="0"/>
      </rPr>
      <t> PRACTICABLE DV-PR10 RPT consta de dos sistemas de apertura totalmente independientes, ambos con rotura de puente térmico: el primero, de tipo practicable, se compone de 1 hoja abisagrada que gira sobre un eje vertical; el segundo, también de tipo abisagrado, envuelve al anterior y posibilita la apertura de todo el conjunto, permitiendo acceder cómodamente a la parte exterior de la persiana para su limpieza</t>
    </r>
  </si>
  <si>
    <t>Ventana de 2 hojas practicables + 1 hoja practicable para la apertura completa del conjunto.</t>
  </si>
  <si>
    <r>
      <t>El sistema DOBLEVENTANA</t>
    </r>
    <r>
      <rPr>
        <b/>
        <sz val="10"/>
        <rFont val="Arial"/>
        <family val="0"/>
      </rPr>
      <t>®</t>
    </r>
    <r>
      <rPr>
        <sz val="10"/>
        <rFont val="Arial"/>
        <family val="0"/>
      </rPr>
      <t> PRACTICABLE DV-PR20 consta de dos sistemas de apertura totalmente independientes; el primero, de tipo practicable, se compone de 2 hojas abisagradas que giran sobre un eje vertical; el segundo, también de tipo abisagrado, envuelve al anterior y posibilita la apertura de todo el conjunto, permitiendo acceder cómodamente a la parte exterior de la persiana para su limpieza</t>
    </r>
  </si>
  <si>
    <t>Ventana de 2 hojas practicables + 1 hoja practicable para la apertura completa del conjunto, con rotura de puente térmico</t>
  </si>
  <si>
    <r>
      <t>El sistema DOBLEVENTANA</t>
    </r>
    <r>
      <rPr>
        <b/>
        <sz val="10"/>
        <rFont val="Arial"/>
        <family val="0"/>
      </rPr>
      <t>®</t>
    </r>
    <r>
      <rPr>
        <sz val="10"/>
        <rFont val="Arial"/>
        <family val="0"/>
      </rPr>
      <t> PRACTICABLE DV-PR20 RPT consta de dos sistemas de apertura totalmente independientes, ambos con rotura de puente térmico: el primero, de tipo practicable, se compone de 2 hojas abisagradas que giran sobre un eje vertical; el segundo, también de tipo abisagrado, envuelve al anterior y posibilita la apertura de todo el conjunto, permitiendo acceder cómodamente a la parte exterior de la persiana para su limpieza.</t>
    </r>
  </si>
  <si>
    <t>Ventana de 1 hoja abatible + 1 hoja practicable para la apertura completa del conjunto</t>
  </si>
  <si>
    <r>
      <t>El sistema DOBLEVENTANA</t>
    </r>
    <r>
      <rPr>
        <b/>
        <sz val="10"/>
        <rFont val="Arial"/>
        <family val="0"/>
      </rPr>
      <t>®</t>
    </r>
    <r>
      <rPr>
        <sz val="10"/>
        <rFont val="Arial"/>
        <family val="0"/>
      </rPr>
      <t> ABATIBLE DV-AB10 consta de dos sistemas de apertura totalmente independientes: el primero, de tipo abatible, se compone de 1 hoja abisagrada que gira parcialmente sobre un eje horizontal; el segundo, también de tipo abisagrado, envuelve al anterior y posibilita la apertura de todo el conjunto, permitiendo acceder cómodamente a la parte exterior de la persiana para su limpieza.</t>
    </r>
  </si>
  <si>
    <t>Ventana de 1 hoja abatible + 1 hoja practicable para la apertura completa del conjunto, con rotura de puente térmico</t>
  </si>
  <si>
    <r>
      <t>El sistema DOBLEVENTANA</t>
    </r>
    <r>
      <rPr>
        <b/>
        <sz val="10"/>
        <rFont val="Arial"/>
        <family val="0"/>
      </rPr>
      <t>®</t>
    </r>
    <r>
      <rPr>
        <sz val="10"/>
        <rFont val="Arial"/>
        <family val="0"/>
      </rPr>
      <t> ABATIBLE DV-AB10 RPT consta de dos sistemas de apertura totalmente independientes, ambos con rotura de puente térmico: el primero, de tipo abatible, se compone de 1 hoja abisagrada que gira parcialmente sobre un eje horizontal; el segundo, también de tipo abisagrado, envuelve al anterior y posibilita la apertura de todo el conjunto, permitiendo acceder cómodamente a la parte exterior de la persiana para su limpieza.</t>
    </r>
  </si>
  <si>
    <t>Ventana de 1 hoja oscilobatiente + 1 hoja practicable para la apertura completa del conjunto.</t>
  </si>
  <si>
    <t>El sistema DOBLEVENTANA® OSCILOBATIENTE DV-OB10 consta de dos sistemas de apertura totalmente independientes: el primero, de tipo oscilobatiente, se compone de 1 hoja que, gracias a los herrajes utilizados y la posición de la maneta, puede girar sobre un eje vertical, o abatirse parcialmente sobre un eje horizontal; el segundo, de tipo abisagrado, envuelve al anterior y posibilita la apertura de todo el conjunto, permitiendo acceder cómodamente al exterior de la persiana para su limpieza</t>
  </si>
  <si>
    <t>Ventana de 1 hoja oscilobatiente + 1 hoja practicable para la apertura completa del conjunto, con rotura de puente térmico</t>
  </si>
  <si>
    <t>El sistema DOBLEVENTANA® OSCILOBATIENTE DV-OB10 RPT consta de dos sistemas de apertura totalmente independientes, ambos con rotura de puente térmico; el primero, de tipo oscilobatiente, se compone de 1 hoja que, gracias a los herrajes utilizados y la posición de la maneta, puede girar sobre un eje vertical, o abatirse parcialmente sobre un eje horizontal; el segundo, de tipo abisagrado, envuelve al anterior y posibilita la apertura de todo el conjunto, permitiendo acceder cómodamente al exterior de la persiana para su limpieza</t>
  </si>
  <si>
    <t>Ventana de 2 hojas oscilobatientes + 1 hoja practicable para la apertura completa del conjunto</t>
  </si>
  <si>
    <t>El sistema DOBLEVENTANA® OSCILOBATIENTE DV-OB20 consta de dos sistemas de apertura totalmente independientes: el primero, de tipo oscilobatiente, se compone de 2 hojas que, gracias a los herrajes utilizados y la posición de la maneta, pueden girar sobre un eje vertical, o abatirse parcialmente sobre un eje horizontal; el segundo, de tipo abisagrado, envuelve al anterior y posibilita la apertura de todo el conjunto, permitiendo acceder cómodamente al exterior de la persiana para su limpieza.</t>
  </si>
  <si>
    <t>Ventana de 2 hojas oscilobatientes + 1 hoja practicable para la apertura completa del conjunto, con rotura de puente térmico</t>
  </si>
  <si>
    <t>El sistema DOBLEVENTANA® OSCILOBATIENTE DV-OB20 RPT consta de dos sistemas de apertura totalmente independientes, ambos con rotura de puente térmico: el primero, de tipo oscilobatiente, se compone de 2 hojas que, gracias a los herrajes utilizados y la posición de la maneta, pueden girar sobre un eje vertical, o abatirse parcialmente sobre un eje horizontal; el segundo, de tipo abisagrado, envuelve al anterior y posibilita la apertura de todo el conjunto, permitiendo acceder cómodamente al exterior de la persiana para su limpieza</t>
  </si>
  <si>
    <t>SEGÚN INSTRUCCIÓN, CALCULO 1230X1480 MM PARA VENTANAS ≤ 2,3 M2</t>
  </si>
  <si>
    <r>
      <t xml:space="preserve">SEGÚN INSTRUCCIÓN, CALCULO 1480X2180 MM PARA VENTANAS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2,3 M2</t>
    </r>
  </si>
  <si>
    <t>UH,m (&lt;=2,3)</t>
  </si>
  <si>
    <t>UH,m (&gt;2,3)</t>
  </si>
  <si>
    <t>Alto Vidrio</t>
  </si>
  <si>
    <t>Ancho Vidrio</t>
  </si>
  <si>
    <t>Ag</t>
  </si>
  <si>
    <t>(1-FM)</t>
  </si>
  <si>
    <t>FM</t>
  </si>
  <si>
    <t>celda enlace modelo</t>
  </si>
  <si>
    <t>celda enlace cajon</t>
  </si>
  <si>
    <t>celda enlace vidrio</t>
  </si>
  <si>
    <t>SELECTOR CAJON</t>
  </si>
  <si>
    <t>SELECTOR MODELO</t>
  </si>
  <si>
    <t>SELECTOR VIDRIO</t>
  </si>
  <si>
    <t>Cajón de persiana</t>
  </si>
  <si>
    <t>Vidrios</t>
  </si>
  <si>
    <t>Hueco exterior</t>
  </si>
  <si>
    <t>Alto (mm)</t>
  </si>
  <si>
    <t>Ancho (mm)</t>
  </si>
  <si>
    <t>Transmitancia Térmica de huecos</t>
  </si>
  <si>
    <r>
      <t>CALCULO DEL VALOR U</t>
    </r>
    <r>
      <rPr>
        <b/>
        <vertAlign val="subscript"/>
        <sz val="18"/>
        <color indexed="48"/>
        <rFont val="Arial"/>
        <family val="2"/>
      </rPr>
      <t>H</t>
    </r>
    <r>
      <rPr>
        <b/>
        <sz val="18"/>
        <color indexed="48"/>
        <rFont val="Arial"/>
        <family val="2"/>
      </rPr>
      <t xml:space="preserve"> (CTE )</t>
    </r>
  </si>
  <si>
    <r>
      <t>U</t>
    </r>
    <r>
      <rPr>
        <b/>
        <vertAlign val="subscript"/>
        <sz val="12"/>
        <color indexed="23"/>
        <rFont val="Arial"/>
        <family val="2"/>
      </rPr>
      <t>sb</t>
    </r>
    <r>
      <rPr>
        <b/>
        <sz val="12"/>
        <color indexed="23"/>
        <rFont val="Arial"/>
        <family val="2"/>
      </rPr>
      <t>=</t>
    </r>
  </si>
  <si>
    <r>
      <t>W/m</t>
    </r>
    <r>
      <rPr>
        <b/>
        <vertAlign val="superscript"/>
        <sz val="10"/>
        <color indexed="23"/>
        <rFont val="Arial"/>
        <family val="2"/>
      </rPr>
      <t>2</t>
    </r>
    <r>
      <rPr>
        <b/>
        <sz val="10"/>
        <color indexed="23"/>
        <rFont val="Arial"/>
        <family val="2"/>
      </rPr>
      <t>·ºK</t>
    </r>
  </si>
  <si>
    <r>
      <t>W/m</t>
    </r>
    <r>
      <rPr>
        <b/>
        <vertAlign val="superscript"/>
        <sz val="14"/>
        <color indexed="23"/>
        <rFont val="Arial"/>
        <family val="2"/>
      </rPr>
      <t>2</t>
    </r>
    <r>
      <rPr>
        <b/>
        <sz val="14"/>
        <color indexed="23"/>
        <rFont val="Arial"/>
        <family val="2"/>
      </rPr>
      <t>·ºK</t>
    </r>
  </si>
  <si>
    <r>
      <t>Superficie (m</t>
    </r>
    <r>
      <rPr>
        <b/>
        <vertAlign val="superscript"/>
        <sz val="8"/>
        <color indexed="23"/>
        <rFont val="Arial"/>
        <family val="2"/>
      </rPr>
      <t>2</t>
    </r>
    <r>
      <rPr>
        <b/>
        <sz val="8"/>
        <color indexed="23"/>
        <rFont val="Arial"/>
        <family val="2"/>
      </rPr>
      <t>)</t>
    </r>
  </si>
  <si>
    <t>FM =</t>
  </si>
  <si>
    <r>
      <t>U</t>
    </r>
    <r>
      <rPr>
        <b/>
        <vertAlign val="subscript"/>
        <sz val="8"/>
        <color indexed="23"/>
        <rFont val="Arial"/>
        <family val="2"/>
      </rPr>
      <t xml:space="preserve">H,v </t>
    </r>
    <r>
      <rPr>
        <b/>
        <sz val="8"/>
        <color indexed="23"/>
        <rFont val="Arial"/>
        <family val="2"/>
      </rPr>
      <t>=</t>
    </r>
  </si>
  <si>
    <r>
      <t>W/m</t>
    </r>
    <r>
      <rPr>
        <b/>
        <vertAlign val="superscript"/>
        <sz val="8"/>
        <color indexed="23"/>
        <rFont val="Arial"/>
        <family val="2"/>
      </rPr>
      <t>2</t>
    </r>
    <r>
      <rPr>
        <b/>
        <sz val="8"/>
        <color indexed="23"/>
        <rFont val="Arial"/>
        <family val="2"/>
      </rPr>
      <t>·ºK</t>
    </r>
  </si>
  <si>
    <r>
      <t>U</t>
    </r>
    <r>
      <rPr>
        <b/>
        <vertAlign val="subscript"/>
        <sz val="8"/>
        <color indexed="23"/>
        <rFont val="Arial"/>
        <family val="2"/>
      </rPr>
      <t xml:space="preserve">H,m </t>
    </r>
    <r>
      <rPr>
        <b/>
        <sz val="8"/>
        <color indexed="23"/>
        <rFont val="Arial"/>
        <family val="2"/>
      </rPr>
      <t>=</t>
    </r>
  </si>
  <si>
    <t>Siendo:</t>
  </si>
  <si>
    <t>W/m2·ºK</t>
  </si>
  <si>
    <r>
      <t>U</t>
    </r>
    <r>
      <rPr>
        <b/>
        <vertAlign val="subscript"/>
        <sz val="8"/>
        <color indexed="23"/>
        <rFont val="Arial"/>
        <family val="2"/>
      </rPr>
      <t>W</t>
    </r>
    <r>
      <rPr>
        <b/>
        <sz val="8"/>
        <color indexed="23"/>
        <rFont val="Arial"/>
        <family val="2"/>
      </rPr>
      <t xml:space="preserve">= </t>
    </r>
  </si>
  <si>
    <t>DESCRIPCION 1</t>
  </si>
  <si>
    <t>DESCRIPCION 2</t>
  </si>
  <si>
    <r>
      <t>U</t>
    </r>
    <r>
      <rPr>
        <b/>
        <vertAlign val="subscript"/>
        <sz val="12"/>
        <color indexed="23"/>
        <rFont val="Arial"/>
        <family val="2"/>
      </rPr>
      <t>H,v</t>
    </r>
    <r>
      <rPr>
        <b/>
        <sz val="12"/>
        <color indexed="23"/>
        <rFont val="Arial"/>
        <family val="2"/>
      </rPr>
      <t>=</t>
    </r>
  </si>
  <si>
    <t>Uw 1</t>
  </si>
  <si>
    <t>Uw 2</t>
  </si>
  <si>
    <t>UW (&lt;=2,3)</t>
  </si>
  <si>
    <t>UW (&gt;2,3)</t>
  </si>
  <si>
    <t>PRODUCTOS (UHW)</t>
  </si>
  <si>
    <t>UH = Transmitancia térmica del hueco (W/m2·ºK)</t>
  </si>
  <si>
    <t>UH,v = Transmitancia térmica de la parte semitransparente (W/m2·ºK)</t>
  </si>
  <si>
    <t>Marcado CE:</t>
  </si>
  <si>
    <t>Valores</t>
  </si>
  <si>
    <t>UH,m = Transmitancia térmica del marco de ventana o puerta (W/m2·ºK)</t>
  </si>
  <si>
    <r>
      <t>U</t>
    </r>
    <r>
      <rPr>
        <b/>
        <vertAlign val="subscript"/>
        <sz val="13"/>
        <color indexed="23"/>
        <rFont val="Arial"/>
        <family val="2"/>
      </rPr>
      <t>H</t>
    </r>
    <r>
      <rPr>
        <b/>
        <sz val="13"/>
        <color indexed="23"/>
        <rFont val="Arial"/>
        <family val="2"/>
      </rPr>
      <t xml:space="preserve"> = (1 - FM)·U</t>
    </r>
    <r>
      <rPr>
        <b/>
        <vertAlign val="subscript"/>
        <sz val="13"/>
        <color indexed="23"/>
        <rFont val="Arial"/>
        <family val="2"/>
      </rPr>
      <t>H,v</t>
    </r>
    <r>
      <rPr>
        <b/>
        <sz val="13"/>
        <color indexed="23"/>
        <rFont val="Arial"/>
        <family val="2"/>
      </rPr>
      <t xml:space="preserve"> + FM·U</t>
    </r>
    <r>
      <rPr>
        <b/>
        <vertAlign val="subscript"/>
        <sz val="13"/>
        <color indexed="23"/>
        <rFont val="Arial"/>
        <family val="2"/>
      </rPr>
      <t xml:space="preserve">H,m </t>
    </r>
    <r>
      <rPr>
        <b/>
        <sz val="13"/>
        <color indexed="23"/>
        <rFont val="Arial"/>
        <family val="2"/>
      </rPr>
      <t>=</t>
    </r>
  </si>
  <si>
    <t>PVC + ALUMINIO (3,30 W/m2·ºk) - CE</t>
  </si>
  <si>
    <t>PVC (2,70 W/m2·ºk)</t>
  </si>
  <si>
    <t>PVC (2,20 W/m2·ºk)</t>
  </si>
  <si>
    <t>ALUMINIO (1,80 W/m2·ºk)</t>
  </si>
  <si>
    <t>4/6/4 (3,30 W/m2·ºk) - CE</t>
  </si>
  <si>
    <t>4/8/4 (3,10 W/m2·ºk)</t>
  </si>
  <si>
    <t>8/6/4 (3,20 W/m2·ºk)</t>
  </si>
  <si>
    <t>6/6/3+3 (3,20 W/m2·ºk)</t>
  </si>
  <si>
    <t>4/10/4 (3,00 W/m2·ºk)</t>
  </si>
  <si>
    <t>DB-HE1. Apéndice E. Apartado E.1.4.1</t>
  </si>
  <si>
    <r>
      <t>Modelo DOBLEVENTANA</t>
    </r>
    <r>
      <rPr>
        <b/>
        <vertAlign val="superscript"/>
        <sz val="11"/>
        <color indexed="48"/>
        <rFont val="Arial"/>
        <family val="2"/>
      </rPr>
      <t>®</t>
    </r>
  </si>
  <si>
    <t xml:space="preserve">El valor de UH,m contempla la transmitancia térmica en W/m2·ºK del conjunto monobloque  formado por carpintería y cajón </t>
  </si>
  <si>
    <t>Seleccionar modelo</t>
  </si>
  <si>
    <t>Seleccionar cajón</t>
  </si>
  <si>
    <t>Seleccionar vidrio</t>
  </si>
  <si>
    <t>Z67;AL72:AM91</t>
  </si>
  <si>
    <r>
      <t>Coeficiente de Transmisión Acústica U</t>
    </r>
    <r>
      <rPr>
        <b/>
        <vertAlign val="subscript"/>
        <sz val="7"/>
        <color indexed="23"/>
        <rFont val="Arial"/>
        <family val="2"/>
      </rPr>
      <t xml:space="preserve">W </t>
    </r>
    <r>
      <rPr>
        <b/>
        <sz val="7"/>
        <color indexed="23"/>
        <rFont val="Arial"/>
        <family val="2"/>
      </rPr>
      <t>calculado por Organismo Notificado número 0370, de acuerdo con las normas UNE-EN ISO 10077-1:2010 y UNE-EN ISO 10077-2:2012, para Vidrio 6/4/6 (Ug=3,3 W/m2·ºK) y cajón PVC + aluminio (Usb=3,3  W/m2·ºk)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</si>
</sst>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"/>
    <numFmt numFmtId="173" formatCode="0.0000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b/>
      <sz val="11"/>
      <color indexed="48"/>
      <name val="Arial"/>
      <family val="2"/>
    </font>
    <font>
      <b/>
      <sz val="18"/>
      <color indexed="23"/>
      <name val="Arial"/>
      <family val="2"/>
    </font>
    <font>
      <b/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55"/>
      <name val="Arial"/>
      <family val="2"/>
    </font>
    <font>
      <b/>
      <sz val="10"/>
      <color indexed="55"/>
      <name val="Arial"/>
      <family val="2"/>
    </font>
    <font>
      <b/>
      <sz val="7"/>
      <color indexed="23"/>
      <name val="Arial"/>
      <family val="2"/>
    </font>
    <font>
      <b/>
      <sz val="18"/>
      <color indexed="48"/>
      <name val="Arial"/>
      <family val="2"/>
    </font>
    <font>
      <b/>
      <vertAlign val="subscript"/>
      <sz val="18"/>
      <color indexed="48"/>
      <name val="Arial"/>
      <family val="2"/>
    </font>
    <font>
      <sz val="10"/>
      <color indexed="23"/>
      <name val="Arial"/>
      <family val="0"/>
    </font>
    <font>
      <b/>
      <sz val="10"/>
      <color indexed="48"/>
      <name val="Arial"/>
      <family val="2"/>
    </font>
    <font>
      <b/>
      <sz val="12"/>
      <color indexed="23"/>
      <name val="Arial"/>
      <family val="2"/>
    </font>
    <font>
      <b/>
      <vertAlign val="subscript"/>
      <sz val="12"/>
      <color indexed="23"/>
      <name val="Arial"/>
      <family val="2"/>
    </font>
    <font>
      <b/>
      <vertAlign val="superscript"/>
      <sz val="10"/>
      <color indexed="23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vertAlign val="superscript"/>
      <sz val="8"/>
      <color indexed="23"/>
      <name val="Arial"/>
      <family val="2"/>
    </font>
    <font>
      <b/>
      <vertAlign val="subscript"/>
      <sz val="8"/>
      <color indexed="23"/>
      <name val="Arial"/>
      <family val="2"/>
    </font>
    <font>
      <b/>
      <sz val="8"/>
      <color indexed="48"/>
      <name val="Arial"/>
      <family val="2"/>
    </font>
    <font>
      <b/>
      <u val="single"/>
      <sz val="10"/>
      <color indexed="23"/>
      <name val="Arial"/>
      <family val="2"/>
    </font>
    <font>
      <b/>
      <sz val="16"/>
      <color indexed="48"/>
      <name val="Arial"/>
      <family val="2"/>
    </font>
    <font>
      <sz val="14"/>
      <name val="Arial"/>
      <family val="2"/>
    </font>
    <font>
      <b/>
      <sz val="13"/>
      <color indexed="23"/>
      <name val="Arial"/>
      <family val="2"/>
    </font>
    <font>
      <b/>
      <vertAlign val="subscript"/>
      <sz val="13"/>
      <color indexed="23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bscript"/>
      <sz val="7"/>
      <color indexed="23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justify" vertical="top"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justify" vertical="top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0" fillId="0" borderId="0" xfId="0" applyFill="1" applyBorder="1" applyAlignment="1" applyProtection="1">
      <alignment horizontal="justify"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66" fontId="0" fillId="0" borderId="21" xfId="0" applyNumberForma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2" fontId="0" fillId="0" borderId="22" xfId="0" applyNumberFormat="1" applyFill="1" applyBorder="1" applyAlignment="1">
      <alignment horizontal="center"/>
    </xf>
    <xf numFmtId="0" fontId="0" fillId="0" borderId="15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66" fontId="0" fillId="0" borderId="19" xfId="0" applyNumberFormat="1" applyFill="1" applyBorder="1" applyAlignment="1" applyProtection="1">
      <alignment/>
      <protection/>
    </xf>
    <xf numFmtId="166" fontId="0" fillId="0" borderId="19" xfId="0" applyNumberFormat="1" applyFont="1" applyFill="1" applyBorder="1" applyAlignment="1" applyProtection="1">
      <alignment/>
      <protection/>
    </xf>
    <xf numFmtId="2" fontId="0" fillId="0" borderId="23" xfId="0" applyNumberFormat="1" applyFill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164" fontId="0" fillId="0" borderId="19" xfId="0" applyNumberFormat="1" applyFill="1" applyBorder="1" applyAlignment="1" applyProtection="1">
      <alignment/>
      <protection/>
    </xf>
    <xf numFmtId="164" fontId="0" fillId="0" borderId="26" xfId="0" applyNumberFormat="1" applyFill="1" applyBorder="1" applyAlignment="1" applyProtection="1">
      <alignment/>
      <protection/>
    </xf>
    <xf numFmtId="166" fontId="0" fillId="0" borderId="19" xfId="0" applyNumberFormat="1" applyFont="1" applyFill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/>
      <protection/>
    </xf>
    <xf numFmtId="164" fontId="0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164" fontId="0" fillId="0" borderId="28" xfId="0" applyNumberFormat="1" applyFill="1" applyBorder="1" applyAlignment="1" applyProtection="1">
      <alignment/>
      <protection/>
    </xf>
    <xf numFmtId="164" fontId="0" fillId="0" borderId="30" xfId="0" applyNumberForma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164" fontId="0" fillId="0" borderId="24" xfId="0" applyNumberForma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166" fontId="0" fillId="0" borderId="28" xfId="0" applyNumberFormat="1" applyFill="1" applyBorder="1" applyAlignment="1" applyProtection="1">
      <alignment/>
      <protection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right"/>
      <protection/>
    </xf>
    <xf numFmtId="0" fontId="1" fillId="0" borderId="35" xfId="0" applyFont="1" applyFill="1" applyBorder="1" applyAlignment="1" applyProtection="1" quotePrefix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166" fontId="0" fillId="0" borderId="28" xfId="0" applyNumberFormat="1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wrapText="1"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 wrapText="1"/>
      <protection/>
    </xf>
    <xf numFmtId="2" fontId="24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left" vertical="center"/>
      <protection/>
    </xf>
    <xf numFmtId="0" fontId="8" fillId="0" borderId="41" xfId="0" applyFont="1" applyFill="1" applyBorder="1" applyAlignment="1" applyProtection="1">
      <alignment horizontal="left" vertical="center"/>
      <protection/>
    </xf>
    <xf numFmtId="2" fontId="24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14" fillId="0" borderId="46" xfId="0" applyFont="1" applyFill="1" applyBorder="1" applyAlignment="1" applyProtection="1">
      <alignment/>
      <protection/>
    </xf>
    <xf numFmtId="0" fontId="14" fillId="0" borderId="41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 wrapText="1"/>
      <protection/>
    </xf>
    <xf numFmtId="0" fontId="0" fillId="0" borderId="43" xfId="0" applyFill="1" applyBorder="1" applyAlignment="1" applyProtection="1">
      <alignment/>
      <protection/>
    </xf>
    <xf numFmtId="0" fontId="0" fillId="0" borderId="0" xfId="0" applyAlignment="1">
      <alignment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27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48" xfId="0" applyNumberFormat="1" applyFill="1" applyBorder="1" applyAlignment="1" applyProtection="1">
      <alignment horizontal="center"/>
      <protection locked="0"/>
    </xf>
    <xf numFmtId="1" fontId="0" fillId="0" borderId="49" xfId="0" applyNumberForma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2" fontId="15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2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justify" vertical="center" wrapText="1"/>
      <protection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0" fillId="0" borderId="42" xfId="0" applyBorder="1" applyAlignment="1">
      <alignment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25" fillId="0" borderId="0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171450</xdr:colOff>
      <xdr:row>86</xdr:row>
      <xdr:rowOff>76200</xdr:rowOff>
    </xdr:from>
    <xdr:to>
      <xdr:col>44</xdr:col>
      <xdr:colOff>666750</xdr:colOff>
      <xdr:row>86</xdr:row>
      <xdr:rowOff>76200</xdr:rowOff>
    </xdr:to>
    <xdr:sp>
      <xdr:nvSpPr>
        <xdr:cNvPr id="1" name="Line 9"/>
        <xdr:cNvSpPr>
          <a:spLocks/>
        </xdr:cNvSpPr>
      </xdr:nvSpPr>
      <xdr:spPr>
        <a:xfrm>
          <a:off x="9363075" y="1437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86</xdr:row>
      <xdr:rowOff>76200</xdr:rowOff>
    </xdr:from>
    <xdr:to>
      <xdr:col>50</xdr:col>
      <xdr:colOff>666750</xdr:colOff>
      <xdr:row>86</xdr:row>
      <xdr:rowOff>76200</xdr:rowOff>
    </xdr:to>
    <xdr:sp>
      <xdr:nvSpPr>
        <xdr:cNvPr id="2" name="Line 11"/>
        <xdr:cNvSpPr>
          <a:spLocks/>
        </xdr:cNvSpPr>
      </xdr:nvSpPr>
      <xdr:spPr>
        <a:xfrm>
          <a:off x="9363075" y="1437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171450</xdr:colOff>
      <xdr:row>108</xdr:row>
      <xdr:rowOff>76200</xdr:rowOff>
    </xdr:from>
    <xdr:to>
      <xdr:col>44</xdr:col>
      <xdr:colOff>666750</xdr:colOff>
      <xdr:row>108</xdr:row>
      <xdr:rowOff>76200</xdr:rowOff>
    </xdr:to>
    <xdr:sp>
      <xdr:nvSpPr>
        <xdr:cNvPr id="3" name="Line 12"/>
        <xdr:cNvSpPr>
          <a:spLocks/>
        </xdr:cNvSpPr>
      </xdr:nvSpPr>
      <xdr:spPr>
        <a:xfrm>
          <a:off x="9363075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108</xdr:row>
      <xdr:rowOff>76200</xdr:rowOff>
    </xdr:from>
    <xdr:to>
      <xdr:col>50</xdr:col>
      <xdr:colOff>666750</xdr:colOff>
      <xdr:row>108</xdr:row>
      <xdr:rowOff>76200</xdr:rowOff>
    </xdr:to>
    <xdr:sp>
      <xdr:nvSpPr>
        <xdr:cNvPr id="4" name="Line 13"/>
        <xdr:cNvSpPr>
          <a:spLocks/>
        </xdr:cNvSpPr>
      </xdr:nvSpPr>
      <xdr:spPr>
        <a:xfrm>
          <a:off x="9363075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171450</xdr:colOff>
      <xdr:row>86</xdr:row>
      <xdr:rowOff>76200</xdr:rowOff>
    </xdr:from>
    <xdr:to>
      <xdr:col>56</xdr:col>
      <xdr:colOff>666750</xdr:colOff>
      <xdr:row>86</xdr:row>
      <xdr:rowOff>76200</xdr:rowOff>
    </xdr:to>
    <xdr:sp>
      <xdr:nvSpPr>
        <xdr:cNvPr id="5" name="Line 18"/>
        <xdr:cNvSpPr>
          <a:spLocks/>
        </xdr:cNvSpPr>
      </xdr:nvSpPr>
      <xdr:spPr>
        <a:xfrm>
          <a:off x="9363075" y="1437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171450</xdr:colOff>
      <xdr:row>86</xdr:row>
      <xdr:rowOff>76200</xdr:rowOff>
    </xdr:from>
    <xdr:to>
      <xdr:col>62</xdr:col>
      <xdr:colOff>666750</xdr:colOff>
      <xdr:row>86</xdr:row>
      <xdr:rowOff>76200</xdr:rowOff>
    </xdr:to>
    <xdr:sp>
      <xdr:nvSpPr>
        <xdr:cNvPr id="6" name="Line 19"/>
        <xdr:cNvSpPr>
          <a:spLocks/>
        </xdr:cNvSpPr>
      </xdr:nvSpPr>
      <xdr:spPr>
        <a:xfrm>
          <a:off x="9363075" y="1437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171450</xdr:colOff>
      <xdr:row>108</xdr:row>
      <xdr:rowOff>76200</xdr:rowOff>
    </xdr:from>
    <xdr:to>
      <xdr:col>56</xdr:col>
      <xdr:colOff>666750</xdr:colOff>
      <xdr:row>108</xdr:row>
      <xdr:rowOff>76200</xdr:rowOff>
    </xdr:to>
    <xdr:sp>
      <xdr:nvSpPr>
        <xdr:cNvPr id="7" name="Line 20"/>
        <xdr:cNvSpPr>
          <a:spLocks/>
        </xdr:cNvSpPr>
      </xdr:nvSpPr>
      <xdr:spPr>
        <a:xfrm>
          <a:off x="9363075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171450</xdr:colOff>
      <xdr:row>108</xdr:row>
      <xdr:rowOff>76200</xdr:rowOff>
    </xdr:from>
    <xdr:to>
      <xdr:col>62</xdr:col>
      <xdr:colOff>666750</xdr:colOff>
      <xdr:row>108</xdr:row>
      <xdr:rowOff>76200</xdr:rowOff>
    </xdr:to>
    <xdr:sp>
      <xdr:nvSpPr>
        <xdr:cNvPr id="8" name="Line 21"/>
        <xdr:cNvSpPr>
          <a:spLocks/>
        </xdr:cNvSpPr>
      </xdr:nvSpPr>
      <xdr:spPr>
        <a:xfrm>
          <a:off x="9363075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25</xdr:row>
      <xdr:rowOff>85725</xdr:rowOff>
    </xdr:from>
    <xdr:to>
      <xdr:col>13</xdr:col>
      <xdr:colOff>28575</xdr:colOff>
      <xdr:row>25</xdr:row>
      <xdr:rowOff>85725</xdr:rowOff>
    </xdr:to>
    <xdr:sp>
      <xdr:nvSpPr>
        <xdr:cNvPr id="9" name="Line 77"/>
        <xdr:cNvSpPr>
          <a:spLocks/>
        </xdr:cNvSpPr>
      </xdr:nvSpPr>
      <xdr:spPr>
        <a:xfrm>
          <a:off x="6353175" y="4200525"/>
          <a:ext cx="3238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0</xdr:row>
      <xdr:rowOff>0</xdr:rowOff>
    </xdr:from>
    <xdr:to>
      <xdr:col>2</xdr:col>
      <xdr:colOff>704850</xdr:colOff>
      <xdr:row>4</xdr:row>
      <xdr:rowOff>228600</xdr:rowOff>
    </xdr:to>
    <xdr:pic>
      <xdr:nvPicPr>
        <xdr:cNvPr id="1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BL129"/>
  <sheetViews>
    <sheetView showGridLines="0" tabSelected="1" zoomScalePageLayoutView="0" workbookViewId="0" topLeftCell="A1">
      <selection activeCell="C14" sqref="C14"/>
    </sheetView>
  </sheetViews>
  <sheetFormatPr defaultColWidth="11.421875" defaultRowHeight="12.75"/>
  <cols>
    <col min="1" max="1" width="15.7109375" style="2" customWidth="1"/>
    <col min="2" max="2" width="6.8515625" style="2" customWidth="1"/>
    <col min="3" max="3" width="12.00390625" style="2" customWidth="1"/>
    <col min="4" max="4" width="2.421875" style="2" customWidth="1"/>
    <col min="5" max="5" width="6.7109375" style="2" customWidth="1"/>
    <col min="6" max="6" width="6.00390625" style="2" customWidth="1"/>
    <col min="7" max="7" width="5.140625" style="2" customWidth="1"/>
    <col min="8" max="8" width="2.28125" style="2" customWidth="1"/>
    <col min="9" max="9" width="9.57421875" style="2" customWidth="1"/>
    <col min="10" max="10" width="5.421875" style="2" customWidth="1"/>
    <col min="11" max="11" width="10.140625" style="2" customWidth="1"/>
    <col min="12" max="12" width="5.8515625" style="2" customWidth="1"/>
    <col min="13" max="13" width="11.57421875" style="2" customWidth="1"/>
    <col min="14" max="14" width="5.421875" style="2" customWidth="1"/>
    <col min="15" max="15" width="4.8515625" style="2" customWidth="1"/>
    <col min="16" max="16" width="7.8515625" style="2" customWidth="1"/>
    <col min="17" max="17" width="6.8515625" style="2" customWidth="1"/>
    <col min="18" max="18" width="15.7109375" style="2" customWidth="1"/>
    <col min="19" max="20" width="8.57421875" style="2" hidden="1" customWidth="1"/>
    <col min="21" max="21" width="0" style="2" hidden="1" customWidth="1"/>
    <col min="22" max="22" width="11.421875" style="2" hidden="1" customWidth="1"/>
    <col min="23" max="23" width="10.7109375" style="2" hidden="1" customWidth="1"/>
    <col min="24" max="24" width="21.7109375" style="2" hidden="1" customWidth="1"/>
    <col min="25" max="25" width="12.7109375" style="4" hidden="1" customWidth="1"/>
    <col min="26" max="26" width="29.7109375" style="2" hidden="1" customWidth="1"/>
    <col min="27" max="27" width="9.7109375" style="2" hidden="1" customWidth="1"/>
    <col min="28" max="28" width="12.00390625" style="2" hidden="1" customWidth="1"/>
    <col min="29" max="31" width="8.7109375" style="2" hidden="1" customWidth="1"/>
    <col min="32" max="32" width="12.140625" style="2" hidden="1" customWidth="1"/>
    <col min="33" max="33" width="16.28125" style="2" hidden="1" customWidth="1"/>
    <col min="34" max="34" width="28.00390625" style="2" hidden="1" customWidth="1"/>
    <col min="35" max="35" width="25.7109375" style="2" hidden="1" customWidth="1"/>
    <col min="36" max="36" width="20.421875" style="2" hidden="1" customWidth="1"/>
    <col min="37" max="37" width="9.57421875" style="2" hidden="1" customWidth="1"/>
    <col min="38" max="38" width="23.140625" style="2" hidden="1" customWidth="1"/>
    <col min="39" max="39" width="9.7109375" style="2" hidden="1" customWidth="1"/>
    <col min="40" max="41" width="4.7109375" style="2" hidden="1" customWidth="1"/>
    <col min="42" max="42" width="6.421875" style="2" hidden="1" customWidth="1"/>
    <col min="43" max="43" width="12.7109375" style="2" hidden="1" customWidth="1"/>
    <col min="44" max="44" width="6.421875" style="2" hidden="1" customWidth="1"/>
    <col min="45" max="45" width="12.57421875" style="2" hidden="1" customWidth="1"/>
    <col min="46" max="46" width="12.7109375" style="2" hidden="1" customWidth="1"/>
    <col min="47" max="47" width="6.28125" style="2" hidden="1" customWidth="1"/>
    <col min="48" max="48" width="6.421875" style="2" hidden="1" customWidth="1"/>
    <col min="49" max="49" width="12.57421875" style="2" hidden="1" customWidth="1"/>
    <col min="50" max="50" width="6.421875" style="2" hidden="1" customWidth="1"/>
    <col min="51" max="51" width="12.7109375" style="2" hidden="1" customWidth="1"/>
    <col min="52" max="52" width="12.57421875" style="2" hidden="1" customWidth="1"/>
    <col min="53" max="53" width="5.00390625" style="2" hidden="1" customWidth="1"/>
    <col min="54" max="81" width="11.421875" style="2" hidden="1" customWidth="1"/>
    <col min="82" max="16384" width="11.421875" style="2" customWidth="1"/>
  </cols>
  <sheetData>
    <row r="1" ht="8.25" customHeight="1"/>
    <row r="2" spans="2:2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7" ht="27.75" customHeight="1">
      <c r="B3" s="111"/>
      <c r="C3" s="113"/>
      <c r="D3" s="115" t="s">
        <v>112</v>
      </c>
      <c r="E3" s="111"/>
      <c r="F3" s="113"/>
      <c r="G3" s="113"/>
      <c r="H3" s="113"/>
      <c r="I3" s="113"/>
      <c r="J3" s="113"/>
      <c r="K3" s="113"/>
      <c r="L3" s="113"/>
      <c r="Y3" s="1"/>
      <c r="Z3" s="1"/>
      <c r="AA3" s="1"/>
    </row>
    <row r="4" spans="2:25" ht="14.25" customHeight="1">
      <c r="B4" s="112"/>
      <c r="C4" s="114"/>
      <c r="D4" s="116" t="s">
        <v>111</v>
      </c>
      <c r="E4" s="112"/>
      <c r="F4" s="114"/>
      <c r="G4" s="114"/>
      <c r="H4" s="114"/>
      <c r="I4" s="114"/>
      <c r="J4" s="114"/>
      <c r="K4" s="114"/>
      <c r="L4" s="114"/>
      <c r="Y4" s="2"/>
    </row>
    <row r="5" spans="5:12" ht="18.75" customHeight="1">
      <c r="E5" s="3"/>
      <c r="F5" s="3"/>
      <c r="G5" s="3"/>
      <c r="H5" s="3"/>
      <c r="I5" s="3"/>
      <c r="J5" s="3"/>
      <c r="K5" s="3"/>
      <c r="L5" s="3"/>
    </row>
    <row r="6" spans="2:17" ht="6.75" customHeight="1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17.25">
      <c r="B7" s="130"/>
      <c r="C7" s="5" t="s">
        <v>148</v>
      </c>
      <c r="D7" s="6"/>
      <c r="E7" s="6"/>
      <c r="F7" s="6"/>
      <c r="G7" s="6"/>
      <c r="H7" s="158" t="s">
        <v>106</v>
      </c>
      <c r="I7" s="157"/>
      <c r="J7" s="157"/>
      <c r="K7" s="157"/>
      <c r="L7" s="6"/>
      <c r="M7" s="5" t="s">
        <v>107</v>
      </c>
      <c r="N7" s="5"/>
      <c r="O7" s="5"/>
      <c r="P7" s="6"/>
      <c r="Q7" s="131"/>
    </row>
    <row r="8" spans="2:17" ht="4.5" customHeight="1">
      <c r="B8" s="13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31"/>
    </row>
    <row r="9" spans="2:25" s="8" customFormat="1" ht="17.25" customHeight="1">
      <c r="B9" s="13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3"/>
      <c r="Y9" s="9"/>
    </row>
    <row r="10" spans="2:17" ht="20.25" customHeight="1">
      <c r="B10" s="130"/>
      <c r="C10" s="152" t="s">
        <v>108</v>
      </c>
      <c r="D10" s="153"/>
      <c r="E10" s="153"/>
      <c r="F10" s="6"/>
      <c r="G10" s="6"/>
      <c r="H10" s="6"/>
      <c r="I10" s="11" t="s">
        <v>113</v>
      </c>
      <c r="J10" s="118">
        <f>IF(Y74&gt;1,VLOOKUP(Z66,AJ72:AK85,2,FALSE),"")</f>
      </c>
      <c r="K10" s="13" t="s">
        <v>114</v>
      </c>
      <c r="L10" s="14"/>
      <c r="M10" s="11" t="s">
        <v>126</v>
      </c>
      <c r="N10" s="118">
        <f>IF(Y76&gt;1,VLOOKUP(Z67,AL72:AM91,2,FALSE),"")</f>
        <v>1.8</v>
      </c>
      <c r="O10" s="159" t="s">
        <v>114</v>
      </c>
      <c r="P10" s="160"/>
      <c r="Q10" s="131"/>
    </row>
    <row r="11" spans="2:17" ht="6.75" customHeight="1">
      <c r="B11" s="130"/>
      <c r="C11" s="153"/>
      <c r="D11" s="153"/>
      <c r="E11" s="153"/>
      <c r="F11" s="6"/>
      <c r="G11" s="6"/>
      <c r="H11" s="6"/>
      <c r="I11" s="11"/>
      <c r="J11" s="12"/>
      <c r="K11" s="13"/>
      <c r="L11" s="14"/>
      <c r="M11" s="11"/>
      <c r="N11" s="12"/>
      <c r="O11" s="12"/>
      <c r="P11" s="13"/>
      <c r="Q11" s="131"/>
    </row>
    <row r="12" spans="2:17" ht="15" customHeight="1">
      <c r="B12" s="130"/>
      <c r="C12" s="15" t="s">
        <v>109</v>
      </c>
      <c r="D12" s="6"/>
      <c r="E12" s="15" t="s">
        <v>110</v>
      </c>
      <c r="F12" s="6"/>
      <c r="G12" s="6"/>
      <c r="H12" s="156" t="str">
        <f>IF(Y72&gt;1,VLOOKUP(Z65,Z72:AI85,10,FALSE),"")</f>
        <v>El sistema DOBLEVENTANA® ESTANDAR DV-EST00 consta de un único sistema de apertura tipo abisagrado, que posibilita la apertura de todo el conjunto, permitiendo acceder comodamente a la parte exterior de la persiana para su limpieza</v>
      </c>
      <c r="I12" s="157"/>
      <c r="J12" s="157"/>
      <c r="K12" s="157"/>
      <c r="L12" s="157"/>
      <c r="M12" s="157"/>
      <c r="N12" s="157"/>
      <c r="O12" s="157"/>
      <c r="P12" s="157"/>
      <c r="Q12" s="131"/>
    </row>
    <row r="13" spans="2:17" ht="4.5" customHeight="1">
      <c r="B13" s="130"/>
      <c r="C13" s="6"/>
      <c r="D13" s="6"/>
      <c r="E13" s="6"/>
      <c r="F13" s="6"/>
      <c r="G13" s="6"/>
      <c r="H13" s="157"/>
      <c r="I13" s="157"/>
      <c r="J13" s="157"/>
      <c r="K13" s="157"/>
      <c r="L13" s="157"/>
      <c r="M13" s="157"/>
      <c r="N13" s="157"/>
      <c r="O13" s="157"/>
      <c r="P13" s="157"/>
      <c r="Q13" s="131"/>
    </row>
    <row r="14" spans="2:17" ht="12.75">
      <c r="B14" s="130"/>
      <c r="C14" s="126">
        <v>1200</v>
      </c>
      <c r="D14" s="17"/>
      <c r="E14" s="154">
        <v>1200</v>
      </c>
      <c r="F14" s="155"/>
      <c r="G14" s="6"/>
      <c r="H14" s="157"/>
      <c r="I14" s="157"/>
      <c r="J14" s="157"/>
      <c r="K14" s="157"/>
      <c r="L14" s="157"/>
      <c r="M14" s="157"/>
      <c r="N14" s="157"/>
      <c r="O14" s="157"/>
      <c r="P14" s="157"/>
      <c r="Q14" s="131"/>
    </row>
    <row r="15" spans="2:17" ht="4.5" customHeight="1">
      <c r="B15" s="130"/>
      <c r="C15" s="6"/>
      <c r="D15" s="6"/>
      <c r="E15" s="6"/>
      <c r="F15" s="6"/>
      <c r="G15" s="6"/>
      <c r="H15" s="157"/>
      <c r="I15" s="157"/>
      <c r="J15" s="157"/>
      <c r="K15" s="157"/>
      <c r="L15" s="157"/>
      <c r="M15" s="157"/>
      <c r="N15" s="157"/>
      <c r="O15" s="157"/>
      <c r="P15" s="157"/>
      <c r="Q15" s="131"/>
    </row>
    <row r="16" spans="2:17" ht="12.75">
      <c r="B16" s="130"/>
      <c r="C16" s="18" t="s">
        <v>116</v>
      </c>
      <c r="D16" s="161">
        <f>C14*E14/1000000</f>
        <v>1.44</v>
      </c>
      <c r="E16" s="162"/>
      <c r="F16" s="21" t="str">
        <f>IF(D16&lt;=2.3,"(≤ 2,3)","(&gt; 2,3)")</f>
        <v>(≤ 2,3)</v>
      </c>
      <c r="G16" s="6"/>
      <c r="H16" s="157"/>
      <c r="I16" s="157"/>
      <c r="J16" s="157"/>
      <c r="K16" s="157"/>
      <c r="L16" s="157"/>
      <c r="M16" s="157"/>
      <c r="N16" s="157"/>
      <c r="O16" s="157"/>
      <c r="P16" s="157"/>
      <c r="Q16" s="131"/>
    </row>
    <row r="17" spans="2:17" ht="14.25" customHeight="1">
      <c r="B17" s="130"/>
      <c r="C17" s="18"/>
      <c r="D17" s="19"/>
      <c r="E17" s="10"/>
      <c r="F17" s="21"/>
      <c r="G17" s="6"/>
      <c r="H17" s="157"/>
      <c r="I17" s="157"/>
      <c r="J17" s="157"/>
      <c r="K17" s="157"/>
      <c r="L17" s="157"/>
      <c r="M17" s="157"/>
      <c r="N17" s="157"/>
      <c r="O17" s="157"/>
      <c r="P17" s="157"/>
      <c r="Q17" s="131"/>
    </row>
    <row r="18" spans="2:17" ht="7.5" customHeight="1"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37"/>
    </row>
    <row r="19" spans="12:16" ht="8.25" customHeight="1">
      <c r="L19" s="188" t="s">
        <v>149</v>
      </c>
      <c r="M19" s="189"/>
      <c r="N19" s="189"/>
      <c r="O19" s="189"/>
      <c r="P19" s="189"/>
    </row>
    <row r="20" spans="2:17" ht="14.25" customHeight="1">
      <c r="B20" s="145"/>
      <c r="C20" s="146" t="s">
        <v>147</v>
      </c>
      <c r="L20" s="190"/>
      <c r="M20" s="190"/>
      <c r="N20" s="190"/>
      <c r="O20" s="190"/>
      <c r="P20" s="190"/>
      <c r="Q20" s="117"/>
    </row>
    <row r="21" spans="3:17" ht="24.75" customHeight="1">
      <c r="C21" s="147" t="s">
        <v>137</v>
      </c>
      <c r="D21" s="148"/>
      <c r="E21" s="148"/>
      <c r="F21" s="148"/>
      <c r="G21" s="148"/>
      <c r="H21" s="187">
        <f>IF(OR(O23="",O22="",O24=""),"",((1-O24)*O22)+(O24*O23))</f>
      </c>
      <c r="I21" s="187"/>
      <c r="J21" s="22" t="s">
        <v>115</v>
      </c>
      <c r="K21" s="149"/>
      <c r="L21" s="191"/>
      <c r="M21" s="191"/>
      <c r="N21" s="191"/>
      <c r="O21" s="191"/>
      <c r="P21" s="191"/>
      <c r="Q21" s="138"/>
    </row>
    <row r="22" spans="3:21" ht="12.75" customHeight="1">
      <c r="C22" s="119" t="s">
        <v>121</v>
      </c>
      <c r="L22" s="195" t="s">
        <v>135</v>
      </c>
      <c r="M22" s="196"/>
      <c r="N22" s="139" t="s">
        <v>118</v>
      </c>
      <c r="O22" s="121">
        <f>IF(Y76&gt;1,VLOOKUP(Z67,AL72:AM91,2,FALSE),"")</f>
        <v>1.8</v>
      </c>
      <c r="P22" s="122" t="s">
        <v>119</v>
      </c>
      <c r="Q22" s="23"/>
      <c r="R22" s="24"/>
      <c r="S22" s="24"/>
      <c r="T22" s="24"/>
      <c r="U22" s="24"/>
    </row>
    <row r="23" spans="3:21" ht="12.75" customHeight="1">
      <c r="C23" s="119" t="s">
        <v>132</v>
      </c>
      <c r="L23" s="197"/>
      <c r="M23" s="198"/>
      <c r="N23" s="140" t="s">
        <v>120</v>
      </c>
      <c r="O23" s="46">
        <f>IF(AND(Y72&gt;1,Y74&gt;1,Y76&gt;1),IF(D16&lt;=2.3,VLOOKUP(Z65,Z72:AB85,2,FALSE),VLOOKUP(Z65,Z72:AB85,3,FALSE)),"")</f>
      </c>
      <c r="P23" s="123" t="s">
        <v>119</v>
      </c>
      <c r="Q23" s="24"/>
      <c r="R23" s="24"/>
      <c r="S23" s="24"/>
      <c r="T23" s="24"/>
      <c r="U23" s="24"/>
    </row>
    <row r="24" spans="3:21" ht="12.75" customHeight="1">
      <c r="C24" s="119" t="s">
        <v>133</v>
      </c>
      <c r="L24" s="199"/>
      <c r="M24" s="200"/>
      <c r="N24" s="141" t="s">
        <v>117</v>
      </c>
      <c r="O24" s="124">
        <f>IF(AND(Y72&gt;1,Y74&gt;1,Y76&gt;1),VLOOKUP(Z65,Z72:AG85,8,FALSE),"")</f>
      </c>
      <c r="P24" s="125"/>
      <c r="Q24" s="24"/>
      <c r="R24" s="24"/>
      <c r="S24" s="24"/>
      <c r="T24" s="24"/>
      <c r="U24" s="24"/>
    </row>
    <row r="25" spans="3:21" ht="12.75" customHeight="1">
      <c r="C25" s="119" t="s">
        <v>136</v>
      </c>
      <c r="F25" s="6"/>
      <c r="G25" s="6"/>
      <c r="H25" s="6"/>
      <c r="Q25" s="24"/>
      <c r="R25" s="24"/>
      <c r="S25" s="24"/>
      <c r="T25" s="24"/>
      <c r="U25" s="24"/>
    </row>
    <row r="26" spans="3:21" ht="12.75" customHeight="1">
      <c r="C26" s="119" t="s">
        <v>58</v>
      </c>
      <c r="L26" s="194" t="s">
        <v>134</v>
      </c>
      <c r="M26" s="194"/>
      <c r="N26" s="120" t="s">
        <v>123</v>
      </c>
      <c r="O26" s="143">
        <f>IF(AND(Y72&gt;1,Y74&gt;1,Y76&gt;1),IF(D16&lt;=2.3,VLOOKUP(Z65,Z72:AO91,15,FALSE),VLOOKUP(Z65,Z72:AO91,16,FALSE)),"")</f>
      </c>
      <c r="P26" s="144" t="s">
        <v>122</v>
      </c>
      <c r="Q26" s="24"/>
      <c r="R26" s="24"/>
      <c r="S26" s="24"/>
      <c r="T26" s="24"/>
      <c r="U26" s="24"/>
    </row>
    <row r="27" spans="3:21" ht="12.75" customHeight="1">
      <c r="C27" s="119"/>
      <c r="E27" s="26"/>
      <c r="F27" s="26"/>
      <c r="G27" s="26"/>
      <c r="H27" s="26"/>
      <c r="K27" s="26"/>
      <c r="L27" s="192" t="s">
        <v>154</v>
      </c>
      <c r="M27" s="193"/>
      <c r="N27" s="193"/>
      <c r="O27" s="193"/>
      <c r="P27" s="193"/>
      <c r="Q27" s="24"/>
      <c r="R27" s="24"/>
      <c r="S27" s="24"/>
      <c r="T27" s="24"/>
      <c r="U27" s="24"/>
    </row>
    <row r="28" spans="3:21" ht="12.75" customHeight="1">
      <c r="C28" s="25"/>
      <c r="E28" s="26"/>
      <c r="F28" s="26"/>
      <c r="G28" s="26"/>
      <c r="H28" s="26"/>
      <c r="K28" s="26"/>
      <c r="L28" s="193"/>
      <c r="M28" s="193"/>
      <c r="N28" s="193"/>
      <c r="O28" s="193"/>
      <c r="P28" s="193"/>
      <c r="Q28" s="138"/>
      <c r="R28" s="24"/>
      <c r="S28" s="24"/>
      <c r="T28" s="24"/>
      <c r="U28" s="24"/>
    </row>
    <row r="29" spans="5:21" ht="12.75">
      <c r="E29" s="26"/>
      <c r="F29" s="26"/>
      <c r="G29" s="26"/>
      <c r="H29" s="26"/>
      <c r="K29" s="142"/>
      <c r="L29" s="193"/>
      <c r="M29" s="193"/>
      <c r="N29" s="193"/>
      <c r="O29" s="193"/>
      <c r="P29" s="193"/>
      <c r="Q29" s="138"/>
      <c r="R29" s="24"/>
      <c r="S29" s="24"/>
      <c r="T29" s="24"/>
      <c r="U29" s="24"/>
    </row>
    <row r="30" spans="3:16" ht="12.75">
      <c r="C30" s="26"/>
      <c r="D30" s="26"/>
      <c r="E30" s="26"/>
      <c r="F30" s="26"/>
      <c r="G30" s="26"/>
      <c r="H30" s="26"/>
      <c r="I30" s="26"/>
      <c r="J30" s="26"/>
      <c r="K30" s="142"/>
      <c r="L30" s="193"/>
      <c r="M30" s="193"/>
      <c r="N30" s="193"/>
      <c r="O30" s="193"/>
      <c r="P30" s="193"/>
    </row>
    <row r="31" spans="3:18" ht="12.75">
      <c r="C31" s="26"/>
      <c r="D31" s="44"/>
      <c r="E31" s="44"/>
      <c r="F31" s="44"/>
      <c r="G31" s="44"/>
      <c r="H31" s="44"/>
      <c r="I31" s="44"/>
      <c r="J31" s="44"/>
      <c r="K31" s="44"/>
      <c r="L31" s="44"/>
      <c r="M31" s="10"/>
      <c r="N31" s="10"/>
      <c r="O31" s="10"/>
      <c r="P31" s="10"/>
      <c r="Q31" s="10"/>
      <c r="R31" s="10"/>
    </row>
    <row r="32" spans="3:18" ht="12.75">
      <c r="C32" s="26"/>
      <c r="D32" s="44"/>
      <c r="E32" s="10"/>
      <c r="F32" s="44"/>
      <c r="G32" s="44"/>
      <c r="H32" s="44"/>
      <c r="I32" s="44"/>
      <c r="J32" s="44"/>
      <c r="K32" s="44"/>
      <c r="L32" s="44"/>
      <c r="M32" s="10"/>
      <c r="N32" s="10"/>
      <c r="O32" s="10"/>
      <c r="P32" s="10"/>
      <c r="Q32" s="10"/>
      <c r="R32" s="10"/>
    </row>
    <row r="33" spans="3:18" ht="12.75">
      <c r="C33" s="2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3:18" ht="12.75">
      <c r="C34" s="16"/>
      <c r="D34" s="45"/>
      <c r="E34" s="10"/>
      <c r="F34" s="45"/>
      <c r="G34" s="45"/>
      <c r="H34" s="45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3:18" ht="12.75">
      <c r="C35" s="16"/>
      <c r="D35" s="45"/>
      <c r="E35" s="10"/>
      <c r="F35" s="45"/>
      <c r="G35" s="45"/>
      <c r="H35" s="45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3:18" ht="12.75">
      <c r="C36" s="16"/>
      <c r="D36" s="45"/>
      <c r="E36" s="10"/>
      <c r="F36" s="45"/>
      <c r="G36" s="45"/>
      <c r="H36" s="45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4:18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4:18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4:18" ht="12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4:18" ht="12.7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4:18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4:18" ht="12.7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4:18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4:43" ht="12.7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AI56" s="27"/>
      <c r="AQ56" s="28"/>
    </row>
    <row r="57" spans="4:35" ht="12.7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AI57" s="27"/>
    </row>
    <row r="58" spans="4:35" ht="12.7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AI58" s="27"/>
    </row>
    <row r="59" spans="4:35" ht="12.7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AI59" s="27"/>
    </row>
    <row r="60" spans="4:35" ht="12.7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AI60" s="27"/>
    </row>
    <row r="61" spans="4:35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Y61" s="2"/>
      <c r="AI61" s="27"/>
    </row>
    <row r="62" spans="4:35" ht="12.7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AI62" s="27"/>
    </row>
    <row r="63" spans="4:35" ht="12.7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AI63" s="27"/>
    </row>
    <row r="64" spans="4:35" ht="12.7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AI64" s="27"/>
    </row>
    <row r="65" spans="4:38" ht="12.7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X65" s="2" t="s">
        <v>104</v>
      </c>
      <c r="Z65" s="29" t="str">
        <f>VLOOKUP(Y72,W71:AM99,4,FALSE)</f>
        <v>ESTANDAR DV-EST00</v>
      </c>
      <c r="AI65" s="27"/>
      <c r="AL65" s="2" t="s">
        <v>153</v>
      </c>
    </row>
    <row r="66" spans="4:35" ht="12.7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X66" s="2" t="s">
        <v>103</v>
      </c>
      <c r="Z66" s="29" t="str">
        <f>VLOOKUP(Y74,W71:AM99,14,FALSE)</f>
        <v>Seleccionar cajón</v>
      </c>
      <c r="AI66" s="27"/>
    </row>
    <row r="67" spans="4:35" ht="12.7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X67" s="2" t="s">
        <v>105</v>
      </c>
      <c r="Z67" s="29" t="str">
        <f>VLOOKUP(Y76,W71:AM99,16,FALSE)</f>
        <v>6/12/3+3 Bajo emisivo (1,80 W/m2·ºk)</v>
      </c>
      <c r="AI67" s="27"/>
    </row>
    <row r="68" spans="4:35" ht="13.5" thickBot="1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AI68" s="27"/>
    </row>
    <row r="69" spans="4:64" ht="13.5" thickBot="1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Z69" s="167" t="s">
        <v>59</v>
      </c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6"/>
      <c r="AP69" s="167" t="s">
        <v>91</v>
      </c>
      <c r="AQ69" s="164"/>
      <c r="AR69" s="164"/>
      <c r="AS69" s="164"/>
      <c r="AT69" s="164"/>
      <c r="AU69" s="164"/>
      <c r="AV69" s="164"/>
      <c r="AW69" s="164"/>
      <c r="AX69" s="164"/>
      <c r="AY69" s="164"/>
      <c r="AZ69" s="166"/>
      <c r="BB69" s="167" t="s">
        <v>92</v>
      </c>
      <c r="BC69" s="164"/>
      <c r="BD69" s="164"/>
      <c r="BE69" s="164"/>
      <c r="BF69" s="164"/>
      <c r="BG69" s="164"/>
      <c r="BH69" s="164"/>
      <c r="BI69" s="164"/>
      <c r="BJ69" s="164"/>
      <c r="BK69" s="164"/>
      <c r="BL69" s="166"/>
    </row>
    <row r="70" spans="4:39" ht="13.5" customHeight="1" thickBot="1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Z70" s="60" t="s">
        <v>60</v>
      </c>
      <c r="AA70" s="31" t="s">
        <v>93</v>
      </c>
      <c r="AB70" s="31" t="s">
        <v>94</v>
      </c>
      <c r="AC70" s="31" t="s">
        <v>95</v>
      </c>
      <c r="AD70" s="31" t="s">
        <v>96</v>
      </c>
      <c r="AE70" s="31" t="s">
        <v>97</v>
      </c>
      <c r="AF70" s="31" t="s">
        <v>98</v>
      </c>
      <c r="AG70" s="31" t="s">
        <v>99</v>
      </c>
      <c r="AH70" s="61" t="s">
        <v>124</v>
      </c>
      <c r="AI70" s="62" t="s">
        <v>125</v>
      </c>
      <c r="AJ70" s="185" t="s">
        <v>61</v>
      </c>
      <c r="AK70" s="186"/>
      <c r="AL70" s="185" t="s">
        <v>62</v>
      </c>
      <c r="AM70" s="186"/>
    </row>
    <row r="71" spans="4:64" s="30" customFormat="1" ht="29.25" customHeight="1" thickBot="1" thickTop="1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W71" s="2">
        <v>1</v>
      </c>
      <c r="Z71" s="151" t="s">
        <v>150</v>
      </c>
      <c r="AJ71" s="30" t="s">
        <v>151</v>
      </c>
      <c r="AL71" s="30" t="s">
        <v>152</v>
      </c>
      <c r="AN71" s="31" t="s">
        <v>127</v>
      </c>
      <c r="AO71" s="31" t="s">
        <v>128</v>
      </c>
      <c r="AP71" s="181" t="s">
        <v>14</v>
      </c>
      <c r="AQ71" s="182"/>
      <c r="AR71" s="182"/>
      <c r="AS71" s="182"/>
      <c r="AT71" s="183"/>
      <c r="AV71" s="181" t="s">
        <v>47</v>
      </c>
      <c r="AW71" s="182"/>
      <c r="AX71" s="182"/>
      <c r="AY71" s="182"/>
      <c r="AZ71" s="183"/>
      <c r="BB71" s="181" t="s">
        <v>14</v>
      </c>
      <c r="BC71" s="182"/>
      <c r="BD71" s="182"/>
      <c r="BE71" s="182"/>
      <c r="BF71" s="183"/>
      <c r="BH71" s="181" t="s">
        <v>47</v>
      </c>
      <c r="BI71" s="182"/>
      <c r="BJ71" s="182"/>
      <c r="BK71" s="182"/>
      <c r="BL71" s="183"/>
    </row>
    <row r="72" spans="4:64" ht="13.5" thickBot="1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W72" s="2">
        <v>2</v>
      </c>
      <c r="X72" s="2" t="s">
        <v>100</v>
      </c>
      <c r="Y72" s="33">
        <v>2</v>
      </c>
      <c r="Z72" s="55" t="s">
        <v>0</v>
      </c>
      <c r="AA72" s="63" t="e">
        <f>AT109</f>
        <v>#N/A</v>
      </c>
      <c r="AB72" s="63" t="e">
        <f>BF109</f>
        <v>#N/A</v>
      </c>
      <c r="AC72" s="34">
        <f>IF(($C$14-234&lt;=0),0,$C$14-234)</f>
        <v>966</v>
      </c>
      <c r="AD72" s="34">
        <f>IF(($E$14-238&lt;=0),0,$E$14-238)</f>
        <v>962</v>
      </c>
      <c r="AE72" s="35">
        <f>AC72*AD72/1000000</f>
        <v>0.929292</v>
      </c>
      <c r="AF72" s="36">
        <f aca="true" t="shared" si="0" ref="AF72:AF85">(AE72*100/$D$16)/100</f>
        <v>0.6453416666666666</v>
      </c>
      <c r="AG72" s="36">
        <f>1-AF72</f>
        <v>0.3546583333333334</v>
      </c>
      <c r="AH72" s="64" t="s">
        <v>63</v>
      </c>
      <c r="AI72" s="65" t="s">
        <v>64</v>
      </c>
      <c r="AJ72" s="64" t="s">
        <v>138</v>
      </c>
      <c r="AK72" s="66">
        <v>3.3</v>
      </c>
      <c r="AL72" s="67" t="s">
        <v>142</v>
      </c>
      <c r="AM72" s="68">
        <v>3.3</v>
      </c>
      <c r="AN72" s="69">
        <v>4.93</v>
      </c>
      <c r="AO72" s="69">
        <v>4.65</v>
      </c>
      <c r="AP72" s="163" t="s">
        <v>49</v>
      </c>
      <c r="AQ72" s="164"/>
      <c r="AR72" s="164"/>
      <c r="AS72" s="164"/>
      <c r="AT72" s="165"/>
      <c r="AV72" s="163" t="s">
        <v>3</v>
      </c>
      <c r="AW72" s="164"/>
      <c r="AX72" s="164"/>
      <c r="AY72" s="164"/>
      <c r="AZ72" s="165"/>
      <c r="BB72" s="163" t="s">
        <v>49</v>
      </c>
      <c r="BC72" s="164"/>
      <c r="BD72" s="164"/>
      <c r="BE72" s="164"/>
      <c r="BF72" s="165"/>
      <c r="BH72" s="163" t="s">
        <v>3</v>
      </c>
      <c r="BI72" s="164"/>
      <c r="BJ72" s="164"/>
      <c r="BK72" s="164"/>
      <c r="BL72" s="165"/>
    </row>
    <row r="73" spans="4:64" ht="13.5" thickBot="1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W73" s="2">
        <v>3</v>
      </c>
      <c r="Z73" s="70" t="s">
        <v>1</v>
      </c>
      <c r="AA73" s="63" t="e">
        <f>AZ109</f>
        <v>#N/A</v>
      </c>
      <c r="AB73" s="63" t="e">
        <f>BL109</f>
        <v>#N/A</v>
      </c>
      <c r="AC73" s="37">
        <f>IF(($C$14-234&lt;=0),0,$C$14-234)</f>
        <v>966</v>
      </c>
      <c r="AD73" s="37">
        <f>IF(($E$14-238&lt;=0),0,$E$14-238)</f>
        <v>962</v>
      </c>
      <c r="AE73" s="38">
        <f aca="true" t="shared" si="1" ref="AE73:AE85">AC73*AD73/1000000</f>
        <v>0.929292</v>
      </c>
      <c r="AF73" s="39">
        <f t="shared" si="0"/>
        <v>0.6453416666666666</v>
      </c>
      <c r="AG73" s="39">
        <f aca="true" t="shared" si="2" ref="AG73:AG85">1-AF73</f>
        <v>0.3546583333333334</v>
      </c>
      <c r="AH73" s="47" t="s">
        <v>65</v>
      </c>
      <c r="AI73" s="71" t="s">
        <v>66</v>
      </c>
      <c r="AJ73" s="47" t="s">
        <v>139</v>
      </c>
      <c r="AK73" s="72">
        <v>2.7</v>
      </c>
      <c r="AL73" s="70" t="s">
        <v>143</v>
      </c>
      <c r="AM73" s="73">
        <v>3.1</v>
      </c>
      <c r="AN73" s="74">
        <v>4.05</v>
      </c>
      <c r="AO73" s="74">
        <v>3.93</v>
      </c>
      <c r="AP73" s="163" t="s">
        <v>34</v>
      </c>
      <c r="AQ73" s="166"/>
      <c r="AR73" s="167" t="s">
        <v>33</v>
      </c>
      <c r="AS73" s="166"/>
      <c r="AT73" s="75" t="s">
        <v>35</v>
      </c>
      <c r="AV73" s="163" t="s">
        <v>34</v>
      </c>
      <c r="AW73" s="166"/>
      <c r="AX73" s="167" t="s">
        <v>33</v>
      </c>
      <c r="AY73" s="166"/>
      <c r="AZ73" s="75" t="s">
        <v>35</v>
      </c>
      <c r="BB73" s="163" t="s">
        <v>34</v>
      </c>
      <c r="BC73" s="166"/>
      <c r="BD73" s="167" t="s">
        <v>33</v>
      </c>
      <c r="BE73" s="166"/>
      <c r="BF73" s="75" t="s">
        <v>35</v>
      </c>
      <c r="BH73" s="163" t="s">
        <v>34</v>
      </c>
      <c r="BI73" s="166"/>
      <c r="BJ73" s="167" t="s">
        <v>33</v>
      </c>
      <c r="BK73" s="166"/>
      <c r="BL73" s="75" t="s">
        <v>35</v>
      </c>
    </row>
    <row r="74" spans="23:64" ht="12.75">
      <c r="W74" s="2">
        <v>4</v>
      </c>
      <c r="X74" s="2" t="s">
        <v>101</v>
      </c>
      <c r="Y74" s="33">
        <v>1</v>
      </c>
      <c r="Z74" s="55" t="s">
        <v>2</v>
      </c>
      <c r="AA74" s="63" t="e">
        <f>AT87</f>
        <v>#N/A</v>
      </c>
      <c r="AB74" s="63" t="e">
        <f>BF87</f>
        <v>#N/A</v>
      </c>
      <c r="AC74" s="37">
        <f>IF(($C$14-270&lt;=0),0,$C$14-270)</f>
        <v>930</v>
      </c>
      <c r="AD74" s="37">
        <f>IF(($E$14-334&lt;=0),0,$E$14-334)</f>
        <v>866</v>
      </c>
      <c r="AE74" s="38">
        <f t="shared" si="1"/>
        <v>0.80538</v>
      </c>
      <c r="AF74" s="39">
        <f t="shared" si="0"/>
        <v>0.5592916666666666</v>
      </c>
      <c r="AG74" s="39">
        <f t="shared" si="2"/>
        <v>0.44070833333333337</v>
      </c>
      <c r="AH74" s="76" t="s">
        <v>67</v>
      </c>
      <c r="AI74" s="77" t="s">
        <v>68</v>
      </c>
      <c r="AJ74" s="47" t="s">
        <v>140</v>
      </c>
      <c r="AK74" s="72">
        <v>2.2</v>
      </c>
      <c r="AL74" s="70" t="s">
        <v>144</v>
      </c>
      <c r="AM74" s="73">
        <v>3.2</v>
      </c>
      <c r="AN74" s="74">
        <v>5.35</v>
      </c>
      <c r="AO74" s="74">
        <v>4.98</v>
      </c>
      <c r="AP74" s="78" t="s">
        <v>23</v>
      </c>
      <c r="AQ74" s="79">
        <v>0.139</v>
      </c>
      <c r="AR74" s="80" t="s">
        <v>15</v>
      </c>
      <c r="AS74" s="81">
        <v>5.457</v>
      </c>
      <c r="AT74" s="82">
        <f>AQ74*AS74</f>
        <v>0.7585230000000001</v>
      </c>
      <c r="AV74" s="78" t="s">
        <v>23</v>
      </c>
      <c r="AW74" s="81">
        <v>0.1463</v>
      </c>
      <c r="AX74" s="80" t="s">
        <v>15</v>
      </c>
      <c r="AY74" s="81">
        <v>3.61</v>
      </c>
      <c r="AZ74" s="82">
        <f>AW74*AY74</f>
        <v>0.528143</v>
      </c>
      <c r="BB74" s="78" t="s">
        <v>23</v>
      </c>
      <c r="BC74" s="81">
        <v>0.1613</v>
      </c>
      <c r="BD74" s="80" t="s">
        <v>15</v>
      </c>
      <c r="BE74" s="81">
        <v>5.457</v>
      </c>
      <c r="BF74" s="82">
        <f>BC74*BE74</f>
        <v>0.8802141</v>
      </c>
      <c r="BH74" s="78" t="s">
        <v>23</v>
      </c>
      <c r="BI74" s="81">
        <v>0.1699</v>
      </c>
      <c r="BJ74" s="80" t="s">
        <v>15</v>
      </c>
      <c r="BK74" s="81">
        <v>3.61</v>
      </c>
      <c r="BL74" s="82">
        <f>BI74*BK74</f>
        <v>0.613339</v>
      </c>
    </row>
    <row r="75" spans="23:64" ht="12.75">
      <c r="W75" s="2">
        <v>5</v>
      </c>
      <c r="Z75" s="70" t="s">
        <v>3</v>
      </c>
      <c r="AA75" s="63" t="e">
        <f>AZ87</f>
        <v>#N/A</v>
      </c>
      <c r="AB75" s="63" t="e">
        <f>BL87</f>
        <v>#N/A</v>
      </c>
      <c r="AC75" s="37">
        <f>IF(($C$14-270&lt;=0),0,$C$14-270)</f>
        <v>930</v>
      </c>
      <c r="AD75" s="37">
        <f>IF(($E$14-334&lt;=0),0,$E$14-334)</f>
        <v>866</v>
      </c>
      <c r="AE75" s="38">
        <f t="shared" si="1"/>
        <v>0.80538</v>
      </c>
      <c r="AF75" s="39">
        <f t="shared" si="0"/>
        <v>0.5592916666666666</v>
      </c>
      <c r="AG75" s="39">
        <f t="shared" si="2"/>
        <v>0.44070833333333337</v>
      </c>
      <c r="AH75" s="76" t="s">
        <v>69</v>
      </c>
      <c r="AI75" s="77" t="s">
        <v>70</v>
      </c>
      <c r="AJ75" s="47" t="s">
        <v>141</v>
      </c>
      <c r="AK75" s="72">
        <v>1.8</v>
      </c>
      <c r="AL75" s="70" t="s">
        <v>145</v>
      </c>
      <c r="AM75" s="83">
        <v>3.2</v>
      </c>
      <c r="AN75" s="74">
        <v>4.44</v>
      </c>
      <c r="AO75" s="74">
        <v>4.27</v>
      </c>
      <c r="AP75" s="78" t="s">
        <v>24</v>
      </c>
      <c r="AQ75" s="79">
        <v>0.2433</v>
      </c>
      <c r="AR75" s="80" t="s">
        <v>16</v>
      </c>
      <c r="AS75" s="81">
        <v>6.299</v>
      </c>
      <c r="AT75" s="82">
        <f aca="true" t="shared" si="3" ref="AT75:AT81">AQ75*AS75</f>
        <v>1.5325467</v>
      </c>
      <c r="AV75" s="78" t="s">
        <v>24</v>
      </c>
      <c r="AW75" s="81">
        <v>0.2639</v>
      </c>
      <c r="AX75" s="80" t="s">
        <v>16</v>
      </c>
      <c r="AY75" s="81">
        <v>4.281</v>
      </c>
      <c r="AZ75" s="82">
        <f aca="true" t="shared" si="4" ref="AZ75:AZ81">AW75*AY75</f>
        <v>1.1297559</v>
      </c>
      <c r="BB75" s="78" t="s">
        <v>24</v>
      </c>
      <c r="BC75" s="81">
        <v>0.3989</v>
      </c>
      <c r="BD75" s="80" t="s">
        <v>16</v>
      </c>
      <c r="BE75" s="81">
        <v>6.299</v>
      </c>
      <c r="BF75" s="82">
        <f aca="true" t="shared" si="5" ref="BF75:BF81">BC75*BE75</f>
        <v>2.5126711</v>
      </c>
      <c r="BH75" s="78" t="s">
        <v>24</v>
      </c>
      <c r="BI75" s="81">
        <v>0.4353</v>
      </c>
      <c r="BJ75" s="80" t="s">
        <v>16</v>
      </c>
      <c r="BK75" s="81">
        <v>4.281</v>
      </c>
      <c r="BL75" s="82">
        <f aca="true" t="shared" si="6" ref="BL75:BL81">BI75*BK75</f>
        <v>1.8635192999999999</v>
      </c>
    </row>
    <row r="76" spans="23:64" ht="12.75">
      <c r="W76" s="2">
        <v>6</v>
      </c>
      <c r="X76" s="2" t="s">
        <v>102</v>
      </c>
      <c r="Y76" s="33">
        <v>15</v>
      </c>
      <c r="Z76" s="55" t="s">
        <v>4</v>
      </c>
      <c r="AA76" s="63" t="e">
        <f>AT109</f>
        <v>#N/A</v>
      </c>
      <c r="AB76" s="63" t="e">
        <f>BF109</f>
        <v>#N/A</v>
      </c>
      <c r="AC76" s="37">
        <f>IF(($C$14-274&lt;=0),0,$C$14-274)</f>
        <v>926</v>
      </c>
      <c r="AD76" s="37">
        <f>IF(($E$14-278&lt;=0),0,$E$14-278)</f>
        <v>922</v>
      </c>
      <c r="AE76" s="38">
        <f t="shared" si="1"/>
        <v>0.853772</v>
      </c>
      <c r="AF76" s="39">
        <f t="shared" si="0"/>
        <v>0.5928972222222222</v>
      </c>
      <c r="AG76" s="39">
        <f t="shared" si="2"/>
        <v>0.4071027777777778</v>
      </c>
      <c r="AH76" s="47" t="s">
        <v>71</v>
      </c>
      <c r="AI76" s="71" t="s">
        <v>72</v>
      </c>
      <c r="AJ76" s="47"/>
      <c r="AK76" s="72"/>
      <c r="AL76" s="70" t="s">
        <v>146</v>
      </c>
      <c r="AM76" s="73">
        <v>3</v>
      </c>
      <c r="AN76" s="74">
        <v>4.93</v>
      </c>
      <c r="AO76" s="74">
        <v>4.65</v>
      </c>
      <c r="AP76" s="78" t="s">
        <v>25</v>
      </c>
      <c r="AQ76" s="79">
        <v>0.2433</v>
      </c>
      <c r="AR76" s="80" t="s">
        <v>17</v>
      </c>
      <c r="AS76" s="81">
        <v>7.301</v>
      </c>
      <c r="AT76" s="82">
        <f t="shared" si="3"/>
        <v>1.7763333</v>
      </c>
      <c r="AV76" s="78" t="s">
        <v>25</v>
      </c>
      <c r="AW76" s="81">
        <v>0.2639</v>
      </c>
      <c r="AX76" s="80" t="s">
        <v>17</v>
      </c>
      <c r="AY76" s="81">
        <v>5.352</v>
      </c>
      <c r="AZ76" s="82">
        <f t="shared" si="4"/>
        <v>1.4123928000000001</v>
      </c>
      <c r="BB76" s="78" t="s">
        <v>25</v>
      </c>
      <c r="BC76" s="81">
        <v>0.3989</v>
      </c>
      <c r="BD76" s="80" t="s">
        <v>17</v>
      </c>
      <c r="BE76" s="81">
        <v>7.301</v>
      </c>
      <c r="BF76" s="82">
        <f t="shared" si="5"/>
        <v>2.9123688999999997</v>
      </c>
      <c r="BH76" s="78" t="s">
        <v>25</v>
      </c>
      <c r="BI76" s="81">
        <v>0.4353</v>
      </c>
      <c r="BJ76" s="80" t="s">
        <v>17</v>
      </c>
      <c r="BK76" s="81">
        <v>5.352</v>
      </c>
      <c r="BL76" s="82">
        <f t="shared" si="6"/>
        <v>2.3297256</v>
      </c>
    </row>
    <row r="77" spans="23:64" ht="12.75">
      <c r="W77" s="2">
        <v>7</v>
      </c>
      <c r="Z77" s="70" t="s">
        <v>5</v>
      </c>
      <c r="AA77" s="63" t="e">
        <f>AZ109</f>
        <v>#N/A</v>
      </c>
      <c r="AB77" s="63" t="e">
        <f>BL109</f>
        <v>#N/A</v>
      </c>
      <c r="AC77" s="37">
        <f aca="true" t="shared" si="7" ref="AC77:AC85">IF(($C$14-274&lt;=0),0,$C$14-274)</f>
        <v>926</v>
      </c>
      <c r="AD77" s="37">
        <f>IF(($E$14-278&lt;=0),0,$E$14-278)</f>
        <v>922</v>
      </c>
      <c r="AE77" s="38">
        <f t="shared" si="1"/>
        <v>0.853772</v>
      </c>
      <c r="AF77" s="39">
        <f t="shared" si="0"/>
        <v>0.5928972222222222</v>
      </c>
      <c r="AG77" s="39">
        <f t="shared" si="2"/>
        <v>0.4071027777777778</v>
      </c>
      <c r="AH77" s="76" t="s">
        <v>73</v>
      </c>
      <c r="AI77" s="71" t="s">
        <v>74</v>
      </c>
      <c r="AJ77" s="47"/>
      <c r="AK77" s="72"/>
      <c r="AL77" s="70" t="str">
        <f>IF(Y72=4,"","6/8/6 (3,10 W/m2·ºk)")</f>
        <v>6/8/6 (3,10 W/m2·ºk)</v>
      </c>
      <c r="AM77" s="73">
        <v>3.1</v>
      </c>
      <c r="AN77" s="74">
        <v>4.05</v>
      </c>
      <c r="AO77" s="74">
        <v>3.93</v>
      </c>
      <c r="AP77" s="78" t="s">
        <v>26</v>
      </c>
      <c r="AQ77" s="79">
        <v>0.0849</v>
      </c>
      <c r="AR77" s="80" t="s">
        <v>18</v>
      </c>
      <c r="AS77" s="81">
        <v>6.155</v>
      </c>
      <c r="AT77" s="82">
        <f t="shared" si="3"/>
        <v>0.5225595000000001</v>
      </c>
      <c r="AV77" s="78" t="s">
        <v>26</v>
      </c>
      <c r="AW77" s="81">
        <v>0.0916</v>
      </c>
      <c r="AX77" s="80" t="s">
        <v>18</v>
      </c>
      <c r="AY77" s="81">
        <v>4.264</v>
      </c>
      <c r="AZ77" s="82">
        <f t="shared" si="4"/>
        <v>0.39058240000000005</v>
      </c>
      <c r="BB77" s="78" t="s">
        <v>26</v>
      </c>
      <c r="BC77" s="81">
        <v>0.1075</v>
      </c>
      <c r="BD77" s="80" t="s">
        <v>18</v>
      </c>
      <c r="BE77" s="81">
        <v>6.155</v>
      </c>
      <c r="BF77" s="82">
        <f t="shared" si="5"/>
        <v>0.6616625</v>
      </c>
      <c r="BH77" s="78" t="s">
        <v>26</v>
      </c>
      <c r="BI77" s="81">
        <v>0.1169</v>
      </c>
      <c r="BJ77" s="80" t="s">
        <v>18</v>
      </c>
      <c r="BK77" s="81">
        <v>4.264</v>
      </c>
      <c r="BL77" s="82">
        <f t="shared" si="6"/>
        <v>0.49846160000000006</v>
      </c>
    </row>
    <row r="78" spans="23:64" ht="12.75">
      <c r="W78" s="2">
        <v>8</v>
      </c>
      <c r="Z78" s="70" t="s">
        <v>6</v>
      </c>
      <c r="AA78" s="63" t="e">
        <f>AT109</f>
        <v>#N/A</v>
      </c>
      <c r="AB78" s="63" t="e">
        <f>BF109</f>
        <v>#N/A</v>
      </c>
      <c r="AC78" s="37">
        <f t="shared" si="7"/>
        <v>926</v>
      </c>
      <c r="AD78" s="37">
        <f>IF(($E$14-421&lt;=0),0,$E$14-421)</f>
        <v>779</v>
      </c>
      <c r="AE78" s="38">
        <f t="shared" si="1"/>
        <v>0.721354</v>
      </c>
      <c r="AF78" s="39">
        <f t="shared" si="0"/>
        <v>0.5009402777777778</v>
      </c>
      <c r="AG78" s="39">
        <f t="shared" si="2"/>
        <v>0.49905972222222217</v>
      </c>
      <c r="AH78" s="76" t="s">
        <v>75</v>
      </c>
      <c r="AI78" s="71" t="s">
        <v>76</v>
      </c>
      <c r="AJ78" s="47"/>
      <c r="AK78" s="72"/>
      <c r="AL78" s="70" t="str">
        <f>IF(Y72=4,"","6/8/3+3 (3,10 W/m2·ºk)")</f>
        <v>6/8/3+3 (3,10 W/m2·ºk)</v>
      </c>
      <c r="AM78" s="83">
        <v>3.1</v>
      </c>
      <c r="AN78" s="74">
        <v>4.93</v>
      </c>
      <c r="AO78" s="74">
        <v>4.65</v>
      </c>
      <c r="AP78" s="78" t="s">
        <v>27</v>
      </c>
      <c r="AQ78" s="79">
        <v>0.0849</v>
      </c>
      <c r="AR78" s="80" t="s">
        <v>19</v>
      </c>
      <c r="AS78" s="81">
        <v>7.279</v>
      </c>
      <c r="AT78" s="82">
        <f t="shared" si="3"/>
        <v>0.6179871</v>
      </c>
      <c r="AV78" s="78" t="s">
        <v>27</v>
      </c>
      <c r="AW78" s="81">
        <v>0.0916</v>
      </c>
      <c r="AX78" s="80" t="s">
        <v>19</v>
      </c>
      <c r="AY78" s="81">
        <v>4.996</v>
      </c>
      <c r="AZ78" s="82">
        <f t="shared" si="4"/>
        <v>0.45763360000000003</v>
      </c>
      <c r="BB78" s="78" t="s">
        <v>27</v>
      </c>
      <c r="BC78" s="81">
        <v>0.1075</v>
      </c>
      <c r="BD78" s="80" t="s">
        <v>19</v>
      </c>
      <c r="BE78" s="81">
        <v>7.279</v>
      </c>
      <c r="BF78" s="82">
        <f t="shared" si="5"/>
        <v>0.7824924999999999</v>
      </c>
      <c r="BH78" s="78" t="s">
        <v>27</v>
      </c>
      <c r="BI78" s="81">
        <v>0.1169</v>
      </c>
      <c r="BJ78" s="80" t="s">
        <v>19</v>
      </c>
      <c r="BK78" s="81">
        <v>4.996</v>
      </c>
      <c r="BL78" s="82">
        <f t="shared" si="6"/>
        <v>0.5840324000000001</v>
      </c>
    </row>
    <row r="79" spans="23:64" ht="12.75">
      <c r="W79" s="2">
        <v>9</v>
      </c>
      <c r="Z79" s="70" t="s">
        <v>7</v>
      </c>
      <c r="AA79" s="63" t="e">
        <f>AZ109</f>
        <v>#N/A</v>
      </c>
      <c r="AB79" s="63" t="e">
        <f>BL109</f>
        <v>#N/A</v>
      </c>
      <c r="AC79" s="37">
        <f t="shared" si="7"/>
        <v>926</v>
      </c>
      <c r="AD79" s="37">
        <f>IF(($E$14-421&lt;=0),0,$E$14-421)</f>
        <v>779</v>
      </c>
      <c r="AE79" s="38">
        <f t="shared" si="1"/>
        <v>0.721354</v>
      </c>
      <c r="AF79" s="39">
        <f t="shared" si="0"/>
        <v>0.5009402777777778</v>
      </c>
      <c r="AG79" s="39">
        <f t="shared" si="2"/>
        <v>0.49905972222222217</v>
      </c>
      <c r="AH79" s="76" t="s">
        <v>77</v>
      </c>
      <c r="AI79" s="71" t="s">
        <v>78</v>
      </c>
      <c r="AJ79" s="47"/>
      <c r="AK79" s="72"/>
      <c r="AL79" s="70" t="str">
        <f>IF(Y72=4,"","4/12/4 (2,90 W/m2·ºk)")</f>
        <v>4/12/4 (2,90 W/m2·ºk)</v>
      </c>
      <c r="AM79" s="73">
        <v>2.9</v>
      </c>
      <c r="AN79" s="74">
        <v>4.05</v>
      </c>
      <c r="AO79" s="74">
        <v>3.93</v>
      </c>
      <c r="AP79" s="78" t="s">
        <v>28</v>
      </c>
      <c r="AQ79" s="79">
        <v>0.0844</v>
      </c>
      <c r="AR79" s="80" t="s">
        <v>20</v>
      </c>
      <c r="AS79" s="81">
        <v>6.532</v>
      </c>
      <c r="AT79" s="82">
        <f t="shared" si="3"/>
        <v>0.5513008</v>
      </c>
      <c r="AV79" s="78" t="s">
        <v>28</v>
      </c>
      <c r="AW79" s="81">
        <v>0.0971</v>
      </c>
      <c r="AX79" s="80" t="s">
        <v>20</v>
      </c>
      <c r="AY79" s="81">
        <v>5.233</v>
      </c>
      <c r="AZ79" s="82">
        <f t="shared" si="4"/>
        <v>0.5081243</v>
      </c>
      <c r="BB79" s="78" t="s">
        <v>28</v>
      </c>
      <c r="BC79" s="81">
        <v>0.1325</v>
      </c>
      <c r="BD79" s="80" t="s">
        <v>20</v>
      </c>
      <c r="BE79" s="81">
        <v>6.532</v>
      </c>
      <c r="BF79" s="82">
        <f t="shared" si="5"/>
        <v>0.8654900000000001</v>
      </c>
      <c r="BH79" s="78" t="s">
        <v>28</v>
      </c>
      <c r="BI79" s="81">
        <v>0.1525</v>
      </c>
      <c r="BJ79" s="80" t="s">
        <v>20</v>
      </c>
      <c r="BK79" s="81">
        <v>5.233</v>
      </c>
      <c r="BL79" s="82">
        <f t="shared" si="6"/>
        <v>0.7980324999999999</v>
      </c>
    </row>
    <row r="80" spans="23:64" ht="12.75">
      <c r="W80" s="2">
        <v>10</v>
      </c>
      <c r="Z80" s="70" t="s">
        <v>8</v>
      </c>
      <c r="AA80" s="63" t="e">
        <f>AT109</f>
        <v>#N/A</v>
      </c>
      <c r="AB80" s="63" t="e">
        <f>BF109</f>
        <v>#N/A</v>
      </c>
      <c r="AC80" s="37">
        <f t="shared" si="7"/>
        <v>926</v>
      </c>
      <c r="AD80" s="37">
        <f>IF(($E$14-278&lt;=0),0,$E$14-278)</f>
        <v>922</v>
      </c>
      <c r="AE80" s="38">
        <f t="shared" si="1"/>
        <v>0.853772</v>
      </c>
      <c r="AF80" s="39">
        <f t="shared" si="0"/>
        <v>0.5928972222222222</v>
      </c>
      <c r="AG80" s="39">
        <f t="shared" si="2"/>
        <v>0.4071027777777778</v>
      </c>
      <c r="AH80" s="76" t="s">
        <v>79</v>
      </c>
      <c r="AI80" s="71" t="s">
        <v>80</v>
      </c>
      <c r="AJ80" s="47"/>
      <c r="AK80" s="72"/>
      <c r="AL80" s="70" t="str">
        <f>IF(Y72=4,"","6/8/3+3 Bajo emisivo (2,20 W/m2·ºk)")</f>
        <v>6/8/3+3 Bajo emisivo (2,20 W/m2·ºk)</v>
      </c>
      <c r="AM80" s="83">
        <v>2.2</v>
      </c>
      <c r="AN80" s="74">
        <v>4.93</v>
      </c>
      <c r="AO80" s="74">
        <v>4.65</v>
      </c>
      <c r="AP80" s="78" t="s">
        <v>29</v>
      </c>
      <c r="AQ80" s="79">
        <v>0.0428</v>
      </c>
      <c r="AR80" s="80" t="s">
        <v>21</v>
      </c>
      <c r="AS80" s="81">
        <v>6.472</v>
      </c>
      <c r="AT80" s="82">
        <f t="shared" si="3"/>
        <v>0.2770016</v>
      </c>
      <c r="AV80" s="78" t="s">
        <v>29</v>
      </c>
      <c r="AW80" s="81">
        <v>0.0422</v>
      </c>
      <c r="AX80" s="80" t="s">
        <v>21</v>
      </c>
      <c r="AY80" s="81">
        <v>4.293</v>
      </c>
      <c r="AZ80" s="82">
        <f t="shared" si="4"/>
        <v>0.1811646</v>
      </c>
      <c r="BB80" s="78" t="s">
        <v>29</v>
      </c>
      <c r="BC80" s="81">
        <v>0.0542</v>
      </c>
      <c r="BD80" s="80" t="s">
        <v>21</v>
      </c>
      <c r="BE80" s="81">
        <v>6.472</v>
      </c>
      <c r="BF80" s="82">
        <f t="shared" si="5"/>
        <v>0.3507824</v>
      </c>
      <c r="BH80" s="78" t="s">
        <v>29</v>
      </c>
      <c r="BI80" s="81">
        <v>0.0538</v>
      </c>
      <c r="BJ80" s="80" t="s">
        <v>21</v>
      </c>
      <c r="BK80" s="81">
        <v>4.293</v>
      </c>
      <c r="BL80" s="82">
        <f t="shared" si="6"/>
        <v>0.2309634</v>
      </c>
    </row>
    <row r="81" spans="23:64" ht="13.5" thickBot="1">
      <c r="W81" s="2">
        <v>11</v>
      </c>
      <c r="Z81" s="70" t="s">
        <v>9</v>
      </c>
      <c r="AA81" s="63" t="e">
        <f>AZ109</f>
        <v>#N/A</v>
      </c>
      <c r="AB81" s="63" t="e">
        <f>BL109</f>
        <v>#N/A</v>
      </c>
      <c r="AC81" s="37">
        <f t="shared" si="7"/>
        <v>926</v>
      </c>
      <c r="AD81" s="37">
        <f>IF(($E$14-278&lt;=0),0,$E$14-278)</f>
        <v>922</v>
      </c>
      <c r="AE81" s="38">
        <f t="shared" si="1"/>
        <v>0.853772</v>
      </c>
      <c r="AF81" s="39">
        <f t="shared" si="0"/>
        <v>0.5928972222222222</v>
      </c>
      <c r="AG81" s="39">
        <f t="shared" si="2"/>
        <v>0.4071027777777778</v>
      </c>
      <c r="AH81" s="76" t="s">
        <v>81</v>
      </c>
      <c r="AI81" s="71" t="s">
        <v>82</v>
      </c>
      <c r="AJ81" s="47"/>
      <c r="AK81" s="72"/>
      <c r="AL81" s="70" t="str">
        <f>IF(Y72=4,"","6/10/3+3 Bajo emisivo (2,00 W/m2·ºk)")</f>
        <v>6/10/3+3 Bajo emisivo (2,00 W/m2·ºk)</v>
      </c>
      <c r="AM81" s="83">
        <v>2</v>
      </c>
      <c r="AN81" s="74">
        <v>4.05</v>
      </c>
      <c r="AO81" s="74">
        <v>3.93</v>
      </c>
      <c r="AP81" s="84" t="s">
        <v>30</v>
      </c>
      <c r="AQ81" s="85">
        <v>0.0428</v>
      </c>
      <c r="AR81" s="86" t="s">
        <v>22</v>
      </c>
      <c r="AS81" s="87">
        <v>9.471</v>
      </c>
      <c r="AT81" s="88">
        <f t="shared" si="3"/>
        <v>0.40535879999999996</v>
      </c>
      <c r="AV81" s="84" t="s">
        <v>30</v>
      </c>
      <c r="AW81" s="87">
        <v>0.0422</v>
      </c>
      <c r="AX81" s="86" t="s">
        <v>22</v>
      </c>
      <c r="AY81" s="87">
        <v>5.161</v>
      </c>
      <c r="AZ81" s="88">
        <f t="shared" si="4"/>
        <v>0.2177942</v>
      </c>
      <c r="BB81" s="84" t="s">
        <v>30</v>
      </c>
      <c r="BC81" s="87">
        <v>0.0542</v>
      </c>
      <c r="BD81" s="86" t="s">
        <v>22</v>
      </c>
      <c r="BE81" s="87">
        <v>9.471</v>
      </c>
      <c r="BF81" s="88">
        <f t="shared" si="5"/>
        <v>0.5133282</v>
      </c>
      <c r="BH81" s="84" t="s">
        <v>30</v>
      </c>
      <c r="BI81" s="87">
        <v>0.0538</v>
      </c>
      <c r="BJ81" s="86" t="s">
        <v>22</v>
      </c>
      <c r="BK81" s="87">
        <v>5.161</v>
      </c>
      <c r="BL81" s="88">
        <f t="shared" si="6"/>
        <v>0.27766179999999996</v>
      </c>
    </row>
    <row r="82" spans="23:64" ht="13.5" thickBot="1">
      <c r="W82" s="2">
        <v>12</v>
      </c>
      <c r="Z82" s="70" t="s">
        <v>10</v>
      </c>
      <c r="AA82" s="63" t="e">
        <f>AT109</f>
        <v>#N/A</v>
      </c>
      <c r="AB82" s="63" t="e">
        <f>BF109</f>
        <v>#N/A</v>
      </c>
      <c r="AC82" s="37">
        <f t="shared" si="7"/>
        <v>926</v>
      </c>
      <c r="AD82" s="37">
        <f>IF(($E$14-278&lt;=0),0,$E$14-278)</f>
        <v>922</v>
      </c>
      <c r="AE82" s="38">
        <f t="shared" si="1"/>
        <v>0.853772</v>
      </c>
      <c r="AF82" s="39">
        <f t="shared" si="0"/>
        <v>0.5928972222222222</v>
      </c>
      <c r="AG82" s="39">
        <f t="shared" si="2"/>
        <v>0.4071027777777778</v>
      </c>
      <c r="AH82" s="70" t="s">
        <v>83</v>
      </c>
      <c r="AI82" s="89" t="s">
        <v>84</v>
      </c>
      <c r="AJ82" s="47"/>
      <c r="AK82" s="72"/>
      <c r="AL82" s="70" t="str">
        <f>IF(Y72=4,"",IF(Y72=5,"","6/12/6 (2,80 W/m2·ºk)"))</f>
        <v>6/12/6 (2,80 W/m2·ºk)</v>
      </c>
      <c r="AM82" s="73">
        <v>2.8</v>
      </c>
      <c r="AN82" s="74">
        <v>4.93</v>
      </c>
      <c r="AO82" s="74">
        <v>4.65</v>
      </c>
      <c r="AP82" s="90" t="s">
        <v>41</v>
      </c>
      <c r="AQ82" s="91">
        <f>SUM(AQ74:AQ81)</f>
        <v>0.9653999999999998</v>
      </c>
      <c r="AR82" s="6"/>
      <c r="AS82" s="92" t="s">
        <v>36</v>
      </c>
      <c r="AT82" s="93">
        <f>SUM(AT74:AT81)</f>
        <v>6.441610799999999</v>
      </c>
      <c r="AV82" s="90" t="s">
        <v>41</v>
      </c>
      <c r="AW82" s="91">
        <f>SUM(AW74:AW81)</f>
        <v>1.0388</v>
      </c>
      <c r="AX82" s="6"/>
      <c r="AY82" s="92" t="s">
        <v>36</v>
      </c>
      <c r="AZ82" s="93">
        <f>SUM(AZ74:AZ81)</f>
        <v>4.8255908</v>
      </c>
      <c r="BB82" s="90" t="s">
        <v>41</v>
      </c>
      <c r="BC82" s="91">
        <f>SUM(BC74:BC81)</f>
        <v>1.415</v>
      </c>
      <c r="BD82" s="6"/>
      <c r="BE82" s="92" t="s">
        <v>36</v>
      </c>
      <c r="BF82" s="93">
        <f>SUM(BF74:BF81)</f>
        <v>9.479009699999999</v>
      </c>
      <c r="BH82" s="90" t="s">
        <v>41</v>
      </c>
      <c r="BI82" s="91">
        <f>SUM(BI74:BI81)</f>
        <v>1.5344000000000002</v>
      </c>
      <c r="BJ82" s="6"/>
      <c r="BK82" s="92" t="s">
        <v>36</v>
      </c>
      <c r="BL82" s="93">
        <f>SUM(BL74:BL81)</f>
        <v>7.195735599999999</v>
      </c>
    </row>
    <row r="83" spans="23:64" ht="13.5" thickBot="1">
      <c r="W83" s="2">
        <v>13</v>
      </c>
      <c r="Z83" s="70" t="s">
        <v>11</v>
      </c>
      <c r="AA83" s="63" t="e">
        <f>AZ109</f>
        <v>#N/A</v>
      </c>
      <c r="AB83" s="63" t="e">
        <f>BL109</f>
        <v>#N/A</v>
      </c>
      <c r="AC83" s="37">
        <f t="shared" si="7"/>
        <v>926</v>
      </c>
      <c r="AD83" s="37">
        <f>IF(($E$14-278&lt;=0),0,$E$14-278)</f>
        <v>922</v>
      </c>
      <c r="AE83" s="38">
        <f t="shared" si="1"/>
        <v>0.853772</v>
      </c>
      <c r="AF83" s="39">
        <f t="shared" si="0"/>
        <v>0.5928972222222222</v>
      </c>
      <c r="AG83" s="39">
        <f t="shared" si="2"/>
        <v>0.4071027777777778</v>
      </c>
      <c r="AH83" s="76" t="s">
        <v>85</v>
      </c>
      <c r="AI83" s="89" t="s">
        <v>86</v>
      </c>
      <c r="AJ83" s="47"/>
      <c r="AK83" s="72"/>
      <c r="AL83" s="70" t="str">
        <f>IF(Y72=4,"",IF(Y72=5,"","8/12/4 (2,80 W/m2·ºk)"))</f>
        <v>8/12/4 (2,80 W/m2·ºk)</v>
      </c>
      <c r="AM83" s="73">
        <v>2.8</v>
      </c>
      <c r="AN83" s="74">
        <v>4.05</v>
      </c>
      <c r="AO83" s="74">
        <v>3.93</v>
      </c>
      <c r="AP83" s="163" t="s">
        <v>37</v>
      </c>
      <c r="AQ83" s="166"/>
      <c r="AR83" s="167" t="s">
        <v>38</v>
      </c>
      <c r="AS83" s="166"/>
      <c r="AT83" s="75" t="s">
        <v>39</v>
      </c>
      <c r="AV83" s="163" t="s">
        <v>37</v>
      </c>
      <c r="AW83" s="166"/>
      <c r="AX83" s="167" t="s">
        <v>38</v>
      </c>
      <c r="AY83" s="166"/>
      <c r="AZ83" s="75" t="s">
        <v>39</v>
      </c>
      <c r="BB83" s="163" t="s">
        <v>37</v>
      </c>
      <c r="BC83" s="166"/>
      <c r="BD83" s="167" t="s">
        <v>38</v>
      </c>
      <c r="BE83" s="166"/>
      <c r="BF83" s="75" t="s">
        <v>39</v>
      </c>
      <c r="BH83" s="163" t="s">
        <v>37</v>
      </c>
      <c r="BI83" s="166"/>
      <c r="BJ83" s="167" t="s">
        <v>38</v>
      </c>
      <c r="BK83" s="166"/>
      <c r="BL83" s="75" t="s">
        <v>39</v>
      </c>
    </row>
    <row r="84" spans="23:64" ht="13.5" thickBot="1">
      <c r="W84" s="2">
        <v>14</v>
      </c>
      <c r="Z84" s="70" t="s">
        <v>12</v>
      </c>
      <c r="AA84" s="63" t="e">
        <f>AT109</f>
        <v>#N/A</v>
      </c>
      <c r="AB84" s="63" t="e">
        <f>BF109</f>
        <v>#N/A</v>
      </c>
      <c r="AC84" s="37">
        <f t="shared" si="7"/>
        <v>926</v>
      </c>
      <c r="AD84" s="37">
        <f>IF(($E$14-421&lt;=0),0,$E$14-421)</f>
        <v>779</v>
      </c>
      <c r="AE84" s="38">
        <f t="shared" si="1"/>
        <v>0.721354</v>
      </c>
      <c r="AF84" s="39">
        <f t="shared" si="0"/>
        <v>0.5009402777777778</v>
      </c>
      <c r="AG84" s="39">
        <f t="shared" si="2"/>
        <v>0.49905972222222217</v>
      </c>
      <c r="AH84" s="76" t="s">
        <v>87</v>
      </c>
      <c r="AI84" s="71" t="s">
        <v>88</v>
      </c>
      <c r="AJ84" s="47"/>
      <c r="AK84" s="72"/>
      <c r="AL84" s="70" t="str">
        <f>IF(Y72=4,"",IF(Y72=5,"","6/12/3+3 (2,80 W/m2·ºk)"))</f>
        <v>6/12/3+3 (2,80 W/m2·ºk)</v>
      </c>
      <c r="AM84" s="83">
        <v>2.8</v>
      </c>
      <c r="AN84" s="74">
        <v>4.93</v>
      </c>
      <c r="AO84" s="74">
        <v>4.65</v>
      </c>
      <c r="AP84" s="84" t="s">
        <v>32</v>
      </c>
      <c r="AQ84" s="87">
        <v>0.1681</v>
      </c>
      <c r="AR84" s="86" t="s">
        <v>31</v>
      </c>
      <c r="AS84" s="87" t="e">
        <f>VLOOKUP(Z66,AJ72:AK85,2,FALSE)</f>
        <v>#N/A</v>
      </c>
      <c r="AT84" s="88" t="e">
        <f>AQ84*AS84</f>
        <v>#N/A</v>
      </c>
      <c r="AV84" s="84" t="s">
        <v>32</v>
      </c>
      <c r="AW84" s="87">
        <v>0.1666</v>
      </c>
      <c r="AX84" s="86" t="s">
        <v>31</v>
      </c>
      <c r="AY84" s="87" t="e">
        <f>VLOOKUP(Z66,AJ72:AK85,2,FALSE)</f>
        <v>#N/A</v>
      </c>
      <c r="AZ84" s="88" t="e">
        <f>AW84*AY84</f>
        <v>#N/A</v>
      </c>
      <c r="BB84" s="84" t="s">
        <v>32</v>
      </c>
      <c r="BC84" s="87">
        <v>0.2081</v>
      </c>
      <c r="BD84" s="86" t="s">
        <v>31</v>
      </c>
      <c r="BE84" s="87" t="e">
        <f>VLOOKUP(Z66,AJ72:AK85,2,FALSE)</f>
        <v>#N/A</v>
      </c>
      <c r="BF84" s="88" t="e">
        <f>BC84*BE84</f>
        <v>#N/A</v>
      </c>
      <c r="BH84" s="84" t="s">
        <v>32</v>
      </c>
      <c r="BI84" s="87">
        <v>0.2066</v>
      </c>
      <c r="BJ84" s="86" t="s">
        <v>31</v>
      </c>
      <c r="BK84" s="87" t="e">
        <f>VLOOKUP(Z66,AJ72:AK85,2,FALSE)</f>
        <v>#N/A</v>
      </c>
      <c r="BL84" s="88" t="e">
        <f>BI84*BK84</f>
        <v>#N/A</v>
      </c>
    </row>
    <row r="85" spans="23:64" ht="13.5" thickBot="1">
      <c r="W85" s="2">
        <v>15</v>
      </c>
      <c r="Z85" s="94" t="s">
        <v>13</v>
      </c>
      <c r="AA85" s="95" t="e">
        <f>AZ109</f>
        <v>#N/A</v>
      </c>
      <c r="AB85" s="95" t="e">
        <f>BL109</f>
        <v>#N/A</v>
      </c>
      <c r="AC85" s="40">
        <f t="shared" si="7"/>
        <v>926</v>
      </c>
      <c r="AD85" s="40">
        <f>IF(($E$14-421&lt;=0),0,$E$14-421)</f>
        <v>779</v>
      </c>
      <c r="AE85" s="41">
        <f t="shared" si="1"/>
        <v>0.721354</v>
      </c>
      <c r="AF85" s="42">
        <f t="shared" si="0"/>
        <v>0.5009402777777778</v>
      </c>
      <c r="AG85" s="42">
        <f t="shared" si="2"/>
        <v>0.49905972222222217</v>
      </c>
      <c r="AH85" s="96" t="s">
        <v>89</v>
      </c>
      <c r="AI85" s="97" t="s">
        <v>90</v>
      </c>
      <c r="AJ85" s="98"/>
      <c r="AK85" s="99"/>
      <c r="AL85" s="70" t="str">
        <f>IF(Y72=4,"",IF(Y72=5,"","6/12/3+3 Bajo emisivo (1,80 W/m2·ºk)"))</f>
        <v>6/12/3+3 Bajo emisivo (1,80 W/m2·ºk)</v>
      </c>
      <c r="AM85" s="83">
        <v>1.8</v>
      </c>
      <c r="AN85" s="100">
        <v>4.05</v>
      </c>
      <c r="AO85" s="100">
        <v>3.93</v>
      </c>
      <c r="AP85" s="90" t="s">
        <v>42</v>
      </c>
      <c r="AQ85" s="91">
        <f>SUM(AQ84)</f>
        <v>0.1681</v>
      </c>
      <c r="AR85" s="6"/>
      <c r="AS85" s="92" t="s">
        <v>40</v>
      </c>
      <c r="AT85" s="93" t="e">
        <f>SUM(AT84)</f>
        <v>#N/A</v>
      </c>
      <c r="AV85" s="90" t="s">
        <v>42</v>
      </c>
      <c r="AW85" s="91">
        <f>SUM(AW84)</f>
        <v>0.1666</v>
      </c>
      <c r="AX85" s="6"/>
      <c r="AY85" s="92" t="s">
        <v>40</v>
      </c>
      <c r="AZ85" s="93" t="e">
        <f>SUM(AZ84)</f>
        <v>#N/A</v>
      </c>
      <c r="BB85" s="90" t="s">
        <v>42</v>
      </c>
      <c r="BC85" s="91">
        <f>SUM(BC84)</f>
        <v>0.2081</v>
      </c>
      <c r="BD85" s="6"/>
      <c r="BE85" s="92" t="s">
        <v>40</v>
      </c>
      <c r="BF85" s="93" t="e">
        <f>SUM(BF84)</f>
        <v>#N/A</v>
      </c>
      <c r="BH85" s="90" t="s">
        <v>42</v>
      </c>
      <c r="BI85" s="91">
        <f>SUM(BI84)</f>
        <v>0.2066</v>
      </c>
      <c r="BJ85" s="6"/>
      <c r="BK85" s="92" t="s">
        <v>40</v>
      </c>
      <c r="BL85" s="93" t="e">
        <f>SUM(BL84)</f>
        <v>#N/A</v>
      </c>
    </row>
    <row r="86" spans="23:64" ht="12.75">
      <c r="W86" s="2">
        <v>16</v>
      </c>
      <c r="AL86" s="70" t="str">
        <f>IF(Y72=4,"",IF(Y72=5,"","8/16/4 (2,70 W/m2·ºk)"))</f>
        <v>8/16/4 (2,70 W/m2·ºk)</v>
      </c>
      <c r="AM86" s="73">
        <v>2.7</v>
      </c>
      <c r="AP86" s="101"/>
      <c r="AQ86" s="168" t="s">
        <v>43</v>
      </c>
      <c r="AR86" s="168"/>
      <c r="AS86" s="168"/>
      <c r="AT86" s="102"/>
      <c r="AV86" s="101"/>
      <c r="AW86" s="168" t="s">
        <v>43</v>
      </c>
      <c r="AX86" s="168"/>
      <c r="AY86" s="168"/>
      <c r="AZ86" s="102"/>
      <c r="BB86" s="101"/>
      <c r="BC86" s="168" t="s">
        <v>43</v>
      </c>
      <c r="BD86" s="168"/>
      <c r="BE86" s="168"/>
      <c r="BF86" s="102"/>
      <c r="BH86" s="101"/>
      <c r="BI86" s="168" t="s">
        <v>43</v>
      </c>
      <c r="BJ86" s="168"/>
      <c r="BK86" s="168"/>
      <c r="BL86" s="102"/>
    </row>
    <row r="87" spans="23:64" ht="12.75">
      <c r="W87" s="2">
        <v>17</v>
      </c>
      <c r="AF87" s="150"/>
      <c r="AG87" s="150"/>
      <c r="AL87" s="70" t="str">
        <f>IF(Y72=4,"",IF(Y72=5,"","8/16/3+3 (2,70 W/m2·ºk)"))</f>
        <v>8/16/3+3 (2,70 W/m2·ºk)</v>
      </c>
      <c r="AM87" s="83">
        <v>2.7</v>
      </c>
      <c r="AP87" s="78" t="s">
        <v>45</v>
      </c>
      <c r="AQ87" s="103"/>
      <c r="AR87" s="103"/>
      <c r="AS87" s="104" t="s">
        <v>46</v>
      </c>
      <c r="AT87" s="105" t="e">
        <f>(AT82+AT85)/(AQ82+AQ85)</f>
        <v>#N/A</v>
      </c>
      <c r="AV87" s="78" t="s">
        <v>45</v>
      </c>
      <c r="AW87" s="103"/>
      <c r="AX87" s="103"/>
      <c r="AY87" s="104" t="s">
        <v>46</v>
      </c>
      <c r="AZ87" s="105" t="e">
        <f>(AZ82+AZ85)/(AW82+AW85)</f>
        <v>#N/A</v>
      </c>
      <c r="BB87" s="78" t="s">
        <v>45</v>
      </c>
      <c r="BC87" s="103"/>
      <c r="BD87" s="103"/>
      <c r="BE87" s="104" t="s">
        <v>46</v>
      </c>
      <c r="BF87" s="105" t="e">
        <f>(BF82+BF85)/(BC82+BC85)</f>
        <v>#N/A</v>
      </c>
      <c r="BH87" s="78" t="s">
        <v>45</v>
      </c>
      <c r="BI87" s="103"/>
      <c r="BJ87" s="103"/>
      <c r="BK87" s="104" t="s">
        <v>46</v>
      </c>
      <c r="BL87" s="105" t="e">
        <f>(BL82+BL85)/(BI82+BI85)</f>
        <v>#N/A</v>
      </c>
    </row>
    <row r="88" spans="23:64" ht="13.5" thickBot="1">
      <c r="W88" s="2">
        <v>18</v>
      </c>
      <c r="AF88" s="150"/>
      <c r="AG88" s="150"/>
      <c r="AH88" s="43"/>
      <c r="AL88" s="70" t="str">
        <f>IF(Y72=4,"",IF(Y72=5,"","6/12/5+5 Bajo emisivo (1,60 W/m2·ºk)"))</f>
        <v>6/12/5+5 Bajo emisivo (1,60 W/m2·ºk)</v>
      </c>
      <c r="AM88" s="83">
        <v>1.6</v>
      </c>
      <c r="AP88" s="106"/>
      <c r="AQ88" s="169" t="s">
        <v>44</v>
      </c>
      <c r="AR88" s="169"/>
      <c r="AS88" s="169"/>
      <c r="AT88" s="107"/>
      <c r="AV88" s="106"/>
      <c r="AW88" s="169" t="s">
        <v>44</v>
      </c>
      <c r="AX88" s="169"/>
      <c r="AY88" s="169"/>
      <c r="AZ88" s="107"/>
      <c r="BB88" s="106"/>
      <c r="BC88" s="169" t="s">
        <v>44</v>
      </c>
      <c r="BD88" s="169"/>
      <c r="BE88" s="169"/>
      <c r="BF88" s="107"/>
      <c r="BH88" s="106"/>
      <c r="BI88" s="169" t="s">
        <v>44</v>
      </c>
      <c r="BJ88" s="169"/>
      <c r="BK88" s="169"/>
      <c r="BL88" s="107"/>
    </row>
    <row r="89" spans="23:39" ht="13.5" thickTop="1">
      <c r="W89" s="2">
        <v>19</v>
      </c>
      <c r="AF89" s="150"/>
      <c r="AG89" s="150"/>
      <c r="AL89" s="70" t="str">
        <f>IF(Y72=4,"",IF(Y72=5,"","8/16/6 (2,70 W/m2·ºk)"))</f>
        <v>8/16/6 (2,70 W/m2·ºk)</v>
      </c>
      <c r="AM89" s="83">
        <v>2.7</v>
      </c>
    </row>
    <row r="90" spans="23:39" ht="13.5" thickBot="1">
      <c r="W90" s="2">
        <v>20</v>
      </c>
      <c r="AF90" s="150"/>
      <c r="AG90" s="150"/>
      <c r="AL90" s="70" t="str">
        <f>IF(Y72=4,"",IF(Y72=5,"","6/14/5+5 (2,70 W/m2·ºk)"))</f>
        <v>6/14/5+5 (2,70 W/m2·ºk)</v>
      </c>
      <c r="AM90" s="83">
        <v>2.7</v>
      </c>
    </row>
    <row r="91" spans="23:64" ht="14.25" thickBot="1" thickTop="1">
      <c r="W91" s="2">
        <v>21</v>
      </c>
      <c r="AF91" s="150"/>
      <c r="AG91" s="150"/>
      <c r="AL91" s="94" t="str">
        <f>IF(Y72=4,"",IF(Y72=5,"","6/16/5+5 (2,70 W/m2·ºk)"))</f>
        <v>6/16/5+5 (2,70 W/m2·ºk)</v>
      </c>
      <c r="AM91" s="108">
        <v>2.7</v>
      </c>
      <c r="AP91" s="170" t="s">
        <v>48</v>
      </c>
      <c r="AQ91" s="171"/>
      <c r="AR91" s="171"/>
      <c r="AS91" s="171"/>
      <c r="AT91" s="172"/>
      <c r="AV91" s="170" t="s">
        <v>51</v>
      </c>
      <c r="AW91" s="171"/>
      <c r="AX91" s="171"/>
      <c r="AY91" s="171"/>
      <c r="AZ91" s="172"/>
      <c r="BB91" s="170" t="s">
        <v>48</v>
      </c>
      <c r="BC91" s="171"/>
      <c r="BD91" s="171"/>
      <c r="BE91" s="171"/>
      <c r="BF91" s="172"/>
      <c r="BH91" s="170" t="s">
        <v>51</v>
      </c>
      <c r="BI91" s="171"/>
      <c r="BJ91" s="171"/>
      <c r="BK91" s="171"/>
      <c r="BL91" s="172"/>
    </row>
    <row r="92" spans="23:64" ht="12.75">
      <c r="W92" s="2">
        <v>22</v>
      </c>
      <c r="AF92" s="150"/>
      <c r="AG92" s="150"/>
      <c r="AP92" s="173" t="s">
        <v>50</v>
      </c>
      <c r="AQ92" s="168"/>
      <c r="AR92" s="168"/>
      <c r="AS92" s="168"/>
      <c r="AT92" s="174"/>
      <c r="AV92" s="175" t="s">
        <v>1</v>
      </c>
      <c r="AW92" s="176"/>
      <c r="AX92" s="176"/>
      <c r="AY92" s="176"/>
      <c r="AZ92" s="177"/>
      <c r="BB92" s="173" t="s">
        <v>50</v>
      </c>
      <c r="BC92" s="168"/>
      <c r="BD92" s="168"/>
      <c r="BE92" s="168"/>
      <c r="BF92" s="174"/>
      <c r="BH92" s="175" t="s">
        <v>1</v>
      </c>
      <c r="BI92" s="176"/>
      <c r="BJ92" s="176"/>
      <c r="BK92" s="176"/>
      <c r="BL92" s="177"/>
    </row>
    <row r="93" spans="23:64" ht="12.75">
      <c r="W93" s="2">
        <v>23</v>
      </c>
      <c r="AF93" s="150"/>
      <c r="AG93" s="150"/>
      <c r="AP93" s="175" t="s">
        <v>4</v>
      </c>
      <c r="AQ93" s="176"/>
      <c r="AR93" s="176"/>
      <c r="AS93" s="176"/>
      <c r="AT93" s="177"/>
      <c r="AV93" s="175" t="s">
        <v>5</v>
      </c>
      <c r="AW93" s="176"/>
      <c r="AX93" s="176"/>
      <c r="AY93" s="176"/>
      <c r="AZ93" s="177"/>
      <c r="BB93" s="175" t="s">
        <v>4</v>
      </c>
      <c r="BC93" s="176"/>
      <c r="BD93" s="176"/>
      <c r="BE93" s="176"/>
      <c r="BF93" s="177"/>
      <c r="BH93" s="175" t="s">
        <v>5</v>
      </c>
      <c r="BI93" s="176"/>
      <c r="BJ93" s="176"/>
      <c r="BK93" s="176"/>
      <c r="BL93" s="177"/>
    </row>
    <row r="94" spans="23:64" ht="12.75">
      <c r="W94" s="2">
        <v>24</v>
      </c>
      <c r="AF94" s="150"/>
      <c r="AG94" s="150"/>
      <c r="AP94" s="175" t="s">
        <v>6</v>
      </c>
      <c r="AQ94" s="176"/>
      <c r="AR94" s="176"/>
      <c r="AS94" s="176"/>
      <c r="AT94" s="177"/>
      <c r="AV94" s="175" t="s">
        <v>7</v>
      </c>
      <c r="AW94" s="176"/>
      <c r="AX94" s="176"/>
      <c r="AY94" s="176"/>
      <c r="AZ94" s="177"/>
      <c r="BB94" s="175" t="s">
        <v>6</v>
      </c>
      <c r="BC94" s="176"/>
      <c r="BD94" s="176"/>
      <c r="BE94" s="176"/>
      <c r="BF94" s="177"/>
      <c r="BH94" s="175" t="s">
        <v>7</v>
      </c>
      <c r="BI94" s="176"/>
      <c r="BJ94" s="176"/>
      <c r="BK94" s="176"/>
      <c r="BL94" s="177"/>
    </row>
    <row r="95" spans="23:64" ht="12.75">
      <c r="W95" s="2">
        <v>25</v>
      </c>
      <c r="AF95" s="150"/>
      <c r="AG95" s="150"/>
      <c r="AP95" s="175" t="s">
        <v>8</v>
      </c>
      <c r="AQ95" s="176"/>
      <c r="AR95" s="176"/>
      <c r="AS95" s="176"/>
      <c r="AT95" s="177"/>
      <c r="AV95" s="175" t="s">
        <v>9</v>
      </c>
      <c r="AW95" s="176"/>
      <c r="AX95" s="176"/>
      <c r="AY95" s="176"/>
      <c r="AZ95" s="177"/>
      <c r="BB95" s="175" t="s">
        <v>8</v>
      </c>
      <c r="BC95" s="176"/>
      <c r="BD95" s="176"/>
      <c r="BE95" s="176"/>
      <c r="BF95" s="177"/>
      <c r="BH95" s="175" t="s">
        <v>9</v>
      </c>
      <c r="BI95" s="176"/>
      <c r="BJ95" s="176"/>
      <c r="BK95" s="176"/>
      <c r="BL95" s="177"/>
    </row>
    <row r="96" spans="23:64" ht="12.75">
      <c r="W96" s="2">
        <v>26</v>
      </c>
      <c r="AF96" s="150"/>
      <c r="AG96" s="150"/>
      <c r="AP96" s="175" t="s">
        <v>10</v>
      </c>
      <c r="AQ96" s="176"/>
      <c r="AR96" s="176"/>
      <c r="AS96" s="176"/>
      <c r="AT96" s="177"/>
      <c r="AV96" s="175" t="s">
        <v>11</v>
      </c>
      <c r="AW96" s="176"/>
      <c r="AX96" s="176"/>
      <c r="AY96" s="176"/>
      <c r="AZ96" s="177"/>
      <c r="BB96" s="175" t="s">
        <v>10</v>
      </c>
      <c r="BC96" s="176"/>
      <c r="BD96" s="176"/>
      <c r="BE96" s="176"/>
      <c r="BF96" s="177"/>
      <c r="BH96" s="175" t="s">
        <v>11</v>
      </c>
      <c r="BI96" s="176"/>
      <c r="BJ96" s="176"/>
      <c r="BK96" s="176"/>
      <c r="BL96" s="177"/>
    </row>
    <row r="97" spans="23:64" ht="13.5" thickBot="1">
      <c r="W97" s="2">
        <v>27</v>
      </c>
      <c r="AF97" s="150"/>
      <c r="AG97" s="150"/>
      <c r="AP97" s="175" t="s">
        <v>12</v>
      </c>
      <c r="AQ97" s="176"/>
      <c r="AR97" s="176"/>
      <c r="AS97" s="176"/>
      <c r="AT97" s="177"/>
      <c r="AV97" s="178" t="s">
        <v>13</v>
      </c>
      <c r="AW97" s="179"/>
      <c r="AX97" s="179"/>
      <c r="AY97" s="179"/>
      <c r="AZ97" s="180"/>
      <c r="BB97" s="175" t="s">
        <v>12</v>
      </c>
      <c r="BC97" s="176"/>
      <c r="BD97" s="176"/>
      <c r="BE97" s="176"/>
      <c r="BF97" s="177"/>
      <c r="BH97" s="178" t="s">
        <v>13</v>
      </c>
      <c r="BI97" s="179"/>
      <c r="BJ97" s="179"/>
      <c r="BK97" s="179"/>
      <c r="BL97" s="180"/>
    </row>
    <row r="98" spans="23:64" ht="13.5" thickBot="1">
      <c r="W98" s="2">
        <v>28</v>
      </c>
      <c r="AF98" s="150"/>
      <c r="AG98" s="150"/>
      <c r="AP98" s="163" t="s">
        <v>34</v>
      </c>
      <c r="AQ98" s="166"/>
      <c r="AR98" s="167" t="s">
        <v>33</v>
      </c>
      <c r="AS98" s="166"/>
      <c r="AT98" s="75" t="s">
        <v>35</v>
      </c>
      <c r="AV98" s="163" t="s">
        <v>34</v>
      </c>
      <c r="AW98" s="166"/>
      <c r="AX98" s="167" t="s">
        <v>33</v>
      </c>
      <c r="AY98" s="166"/>
      <c r="AZ98" s="75" t="s">
        <v>35</v>
      </c>
      <c r="BB98" s="163" t="s">
        <v>34</v>
      </c>
      <c r="BC98" s="166"/>
      <c r="BD98" s="167" t="s">
        <v>33</v>
      </c>
      <c r="BE98" s="166"/>
      <c r="BF98" s="75" t="s">
        <v>35</v>
      </c>
      <c r="BH98" s="163" t="s">
        <v>34</v>
      </c>
      <c r="BI98" s="166"/>
      <c r="BJ98" s="167" t="s">
        <v>33</v>
      </c>
      <c r="BK98" s="166"/>
      <c r="BL98" s="75" t="s">
        <v>35</v>
      </c>
    </row>
    <row r="99" spans="23:64" ht="12.75">
      <c r="W99" s="2">
        <v>28</v>
      </c>
      <c r="AF99" s="150"/>
      <c r="AG99" s="150"/>
      <c r="AP99" s="78" t="s">
        <v>23</v>
      </c>
      <c r="AQ99" s="81">
        <v>0.139</v>
      </c>
      <c r="AR99" s="80" t="s">
        <v>15</v>
      </c>
      <c r="AS99" s="81">
        <v>5.457</v>
      </c>
      <c r="AT99" s="82">
        <f>AQ99*AS99</f>
        <v>0.7585230000000001</v>
      </c>
      <c r="AV99" s="78" t="s">
        <v>23</v>
      </c>
      <c r="AW99" s="81">
        <v>0.1463</v>
      </c>
      <c r="AX99" s="80" t="s">
        <v>15</v>
      </c>
      <c r="AY99" s="81">
        <v>3.61</v>
      </c>
      <c r="AZ99" s="82">
        <f>AW99*AY99</f>
        <v>0.528143</v>
      </c>
      <c r="BB99" s="78" t="s">
        <v>23</v>
      </c>
      <c r="BC99" s="81">
        <v>0.1613</v>
      </c>
      <c r="BD99" s="80" t="s">
        <v>15</v>
      </c>
      <c r="BE99" s="81">
        <v>5.457</v>
      </c>
      <c r="BF99" s="82">
        <f>BC99*BE99</f>
        <v>0.8802141</v>
      </c>
      <c r="BH99" s="78" t="s">
        <v>23</v>
      </c>
      <c r="BI99" s="81">
        <v>0.1699</v>
      </c>
      <c r="BJ99" s="80" t="s">
        <v>15</v>
      </c>
      <c r="BK99" s="81">
        <v>3.61</v>
      </c>
      <c r="BL99" s="82">
        <f>BI99*BK99</f>
        <v>0.613339</v>
      </c>
    </row>
    <row r="100" spans="32:64" ht="12.75">
      <c r="AF100" s="150"/>
      <c r="AG100" s="150"/>
      <c r="AP100" s="78" t="s">
        <v>52</v>
      </c>
      <c r="AQ100" s="81">
        <v>0.4899</v>
      </c>
      <c r="AR100" s="80" t="s">
        <v>55</v>
      </c>
      <c r="AS100" s="81">
        <v>5.971</v>
      </c>
      <c r="AT100" s="82">
        <f>AQ100*AS100</f>
        <v>2.9251929</v>
      </c>
      <c r="AV100" s="78" t="s">
        <v>52</v>
      </c>
      <c r="AW100" s="81">
        <v>0.498</v>
      </c>
      <c r="AX100" s="80" t="s">
        <v>55</v>
      </c>
      <c r="AY100" s="81">
        <v>4.119</v>
      </c>
      <c r="AZ100" s="82">
        <f>AW100*AY100</f>
        <v>2.051262</v>
      </c>
      <c r="BB100" s="78" t="s">
        <v>52</v>
      </c>
      <c r="BC100" s="81">
        <v>0.8039</v>
      </c>
      <c r="BD100" s="80" t="s">
        <v>55</v>
      </c>
      <c r="BE100" s="81">
        <v>5.971</v>
      </c>
      <c r="BF100" s="82">
        <f>BC100*BE100</f>
        <v>4.8000869</v>
      </c>
      <c r="BH100" s="78" t="s">
        <v>52</v>
      </c>
      <c r="BI100" s="81">
        <v>0.8192</v>
      </c>
      <c r="BJ100" s="80" t="s">
        <v>55</v>
      </c>
      <c r="BK100" s="81">
        <v>4.119</v>
      </c>
      <c r="BL100" s="82">
        <f>BI100*BK100</f>
        <v>3.3742848</v>
      </c>
    </row>
    <row r="101" spans="42:64" ht="12.75">
      <c r="AP101" s="78" t="s">
        <v>53</v>
      </c>
      <c r="AQ101" s="81">
        <v>0.1705</v>
      </c>
      <c r="AR101" s="80" t="s">
        <v>56</v>
      </c>
      <c r="AS101" s="81">
        <v>5.709</v>
      </c>
      <c r="AT101" s="82">
        <f>AQ101*AS101</f>
        <v>0.9733845</v>
      </c>
      <c r="AV101" s="78" t="s">
        <v>53</v>
      </c>
      <c r="AW101" s="81">
        <v>0.1737</v>
      </c>
      <c r="AX101" s="80" t="s">
        <v>56</v>
      </c>
      <c r="AY101" s="81">
        <v>3.847</v>
      </c>
      <c r="AZ101" s="82">
        <f>AW101*AY101</f>
        <v>0.6682239</v>
      </c>
      <c r="BB101" s="78" t="s">
        <v>53</v>
      </c>
      <c r="BC101" s="81">
        <v>0.2162</v>
      </c>
      <c r="BD101" s="80" t="s">
        <v>56</v>
      </c>
      <c r="BE101" s="81">
        <v>5.709</v>
      </c>
      <c r="BF101" s="82">
        <f>BC101*BE101</f>
        <v>1.2342857999999999</v>
      </c>
      <c r="BH101" s="78" t="s">
        <v>53</v>
      </c>
      <c r="BI101" s="81">
        <v>0.2204</v>
      </c>
      <c r="BJ101" s="80" t="s">
        <v>56</v>
      </c>
      <c r="BK101" s="81">
        <v>3.847</v>
      </c>
      <c r="BL101" s="82">
        <f>BI101*BK101</f>
        <v>0.8478788</v>
      </c>
    </row>
    <row r="102" spans="42:64" ht="13.5" thickBot="1">
      <c r="AP102" s="78" t="s">
        <v>28</v>
      </c>
      <c r="AQ102" s="81">
        <v>0.1588</v>
      </c>
      <c r="AR102" s="80" t="s">
        <v>20</v>
      </c>
      <c r="AS102" s="81">
        <v>5.64</v>
      </c>
      <c r="AT102" s="82">
        <f>AQ102*AS102</f>
        <v>0.895632</v>
      </c>
      <c r="AV102" s="78" t="s">
        <v>28</v>
      </c>
      <c r="AW102" s="81">
        <v>0.1541</v>
      </c>
      <c r="AX102" s="80" t="s">
        <v>20</v>
      </c>
      <c r="AY102" s="81">
        <v>3.979</v>
      </c>
      <c r="AZ102" s="82">
        <f>AW102*AY102</f>
        <v>0.6131639</v>
      </c>
      <c r="BB102" s="78" t="s">
        <v>28</v>
      </c>
      <c r="BC102" s="81">
        <v>0.2605</v>
      </c>
      <c r="BD102" s="80" t="s">
        <v>20</v>
      </c>
      <c r="BE102" s="81">
        <v>5.64</v>
      </c>
      <c r="BF102" s="82">
        <f>BC102*BE102</f>
        <v>1.46922</v>
      </c>
      <c r="BH102" s="78" t="s">
        <v>28</v>
      </c>
      <c r="BI102" s="81">
        <v>0.2535</v>
      </c>
      <c r="BJ102" s="80" t="s">
        <v>20</v>
      </c>
      <c r="BK102" s="81">
        <v>3.979</v>
      </c>
      <c r="BL102" s="82">
        <f>BI102*BK102</f>
        <v>1.0086765</v>
      </c>
    </row>
    <row r="103" spans="26:64" ht="26.25" thickBot="1">
      <c r="Z103" s="60" t="s">
        <v>131</v>
      </c>
      <c r="AA103" s="31" t="s">
        <v>129</v>
      </c>
      <c r="AB103" s="60" t="s">
        <v>130</v>
      </c>
      <c r="AC103" s="49"/>
      <c r="AD103" s="32"/>
      <c r="AE103" s="32"/>
      <c r="AF103" s="32"/>
      <c r="AG103" s="32"/>
      <c r="AH103" s="32"/>
      <c r="AI103" s="32"/>
      <c r="AJ103" s="184"/>
      <c r="AK103" s="184"/>
      <c r="AL103" s="184"/>
      <c r="AM103" s="184"/>
      <c r="AN103" s="32"/>
      <c r="AO103" s="32"/>
      <c r="AP103" s="78" t="s">
        <v>54</v>
      </c>
      <c r="AQ103" s="81">
        <v>0.087</v>
      </c>
      <c r="AR103" s="80" t="s">
        <v>57</v>
      </c>
      <c r="AS103" s="81">
        <v>5.965</v>
      </c>
      <c r="AT103" s="82">
        <f>AQ103*AS103</f>
        <v>0.5189549999999999</v>
      </c>
      <c r="AV103" s="78" t="s">
        <v>54</v>
      </c>
      <c r="AW103" s="81">
        <v>0.0866</v>
      </c>
      <c r="AX103" s="80" t="s">
        <v>57</v>
      </c>
      <c r="AY103" s="81">
        <v>4.095</v>
      </c>
      <c r="AZ103" s="82">
        <f>AW103*AY103</f>
        <v>0.35462699999999997</v>
      </c>
      <c r="BB103" s="78" t="s">
        <v>54</v>
      </c>
      <c r="BC103" s="81">
        <v>0.1102</v>
      </c>
      <c r="BD103" s="80" t="s">
        <v>57</v>
      </c>
      <c r="BE103" s="81">
        <v>5.965</v>
      </c>
      <c r="BF103" s="82">
        <f>BC103*BE103</f>
        <v>0.657343</v>
      </c>
      <c r="BH103" s="78" t="s">
        <v>54</v>
      </c>
      <c r="BI103" s="81">
        <v>0.1099</v>
      </c>
      <c r="BJ103" s="80" t="s">
        <v>57</v>
      </c>
      <c r="BK103" s="81">
        <v>4.095</v>
      </c>
      <c r="BL103" s="82">
        <f>BI103*BK103</f>
        <v>0.45004049999999995</v>
      </c>
    </row>
    <row r="104" spans="26:64" ht="13.5" thickBot="1">
      <c r="Z104" s="55" t="s">
        <v>0</v>
      </c>
      <c r="AA104" s="63">
        <v>4.93</v>
      </c>
      <c r="AB104" s="55">
        <v>4.65</v>
      </c>
      <c r="AC104" s="50"/>
      <c r="AD104" s="51"/>
      <c r="AE104" s="52"/>
      <c r="AF104" s="53"/>
      <c r="AG104" s="53"/>
      <c r="AH104" s="6"/>
      <c r="AI104" s="6"/>
      <c r="AJ104" s="6"/>
      <c r="AK104" s="54"/>
      <c r="AL104" s="55"/>
      <c r="AM104" s="56"/>
      <c r="AN104" s="57"/>
      <c r="AO104" s="57"/>
      <c r="AP104" s="90" t="s">
        <v>41</v>
      </c>
      <c r="AQ104" s="91">
        <f>SUM(AQ99:AQ103)</f>
        <v>1.0452</v>
      </c>
      <c r="AR104" s="109"/>
      <c r="AS104" s="92" t="s">
        <v>36</v>
      </c>
      <c r="AT104" s="93">
        <f>SUM(AT99:AT103)</f>
        <v>6.0716874</v>
      </c>
      <c r="AV104" s="90" t="s">
        <v>41</v>
      </c>
      <c r="AW104" s="91">
        <f>SUM(AW99:AW103)</f>
        <v>1.0587</v>
      </c>
      <c r="AX104" s="109"/>
      <c r="AY104" s="92" t="s">
        <v>36</v>
      </c>
      <c r="AZ104" s="93">
        <f>SUM(AZ99:AZ103)</f>
        <v>4.2154198</v>
      </c>
      <c r="BB104" s="90" t="s">
        <v>41</v>
      </c>
      <c r="BC104" s="91">
        <f>SUM(BC99:BC103)</f>
        <v>1.5521</v>
      </c>
      <c r="BD104" s="109"/>
      <c r="BE104" s="92" t="s">
        <v>36</v>
      </c>
      <c r="BF104" s="93">
        <f>SUM(BF99:BF103)</f>
        <v>9.0411498</v>
      </c>
      <c r="BH104" s="90" t="s">
        <v>41</v>
      </c>
      <c r="BI104" s="91">
        <f>SUM(BI99:BI103)</f>
        <v>1.5729000000000002</v>
      </c>
      <c r="BJ104" s="109"/>
      <c r="BK104" s="92" t="s">
        <v>36</v>
      </c>
      <c r="BL104" s="93">
        <f>SUM(BL99:BL103)</f>
        <v>6.2942196</v>
      </c>
    </row>
    <row r="105" spans="26:64" ht="13.5" thickBot="1">
      <c r="Z105" s="70" t="s">
        <v>1</v>
      </c>
      <c r="AA105" s="63">
        <v>4.05</v>
      </c>
      <c r="AB105" s="55">
        <v>3.93</v>
      </c>
      <c r="AC105" s="50"/>
      <c r="AD105" s="51"/>
      <c r="AE105" s="52"/>
      <c r="AF105" s="53"/>
      <c r="AG105" s="53"/>
      <c r="AH105" s="6"/>
      <c r="AI105" s="58"/>
      <c r="AJ105" s="6"/>
      <c r="AK105" s="54"/>
      <c r="AL105" s="55"/>
      <c r="AM105" s="56"/>
      <c r="AN105" s="57"/>
      <c r="AO105" s="57"/>
      <c r="AP105" s="163" t="s">
        <v>37</v>
      </c>
      <c r="AQ105" s="166"/>
      <c r="AR105" s="167" t="s">
        <v>38</v>
      </c>
      <c r="AS105" s="166"/>
      <c r="AT105" s="75" t="s">
        <v>39</v>
      </c>
      <c r="AV105" s="163" t="s">
        <v>37</v>
      </c>
      <c r="AW105" s="166"/>
      <c r="AX105" s="167" t="s">
        <v>38</v>
      </c>
      <c r="AY105" s="166"/>
      <c r="AZ105" s="75" t="s">
        <v>39</v>
      </c>
      <c r="BB105" s="163" t="s">
        <v>37</v>
      </c>
      <c r="BC105" s="166"/>
      <c r="BD105" s="167" t="s">
        <v>38</v>
      </c>
      <c r="BE105" s="166"/>
      <c r="BF105" s="75" t="s">
        <v>39</v>
      </c>
      <c r="BH105" s="163" t="s">
        <v>37</v>
      </c>
      <c r="BI105" s="166"/>
      <c r="BJ105" s="167" t="s">
        <v>38</v>
      </c>
      <c r="BK105" s="166"/>
      <c r="BL105" s="75" t="s">
        <v>39</v>
      </c>
    </row>
    <row r="106" spans="26:64" ht="13.5" thickBot="1">
      <c r="Z106" s="55" t="s">
        <v>2</v>
      </c>
      <c r="AA106" s="63">
        <v>5.35</v>
      </c>
      <c r="AB106" s="55">
        <v>4.98</v>
      </c>
      <c r="AC106" s="50"/>
      <c r="AD106" s="51"/>
      <c r="AE106" s="52"/>
      <c r="AF106" s="53"/>
      <c r="AG106" s="53"/>
      <c r="AH106" s="58"/>
      <c r="AI106" s="6"/>
      <c r="AJ106" s="6"/>
      <c r="AK106" s="54"/>
      <c r="AL106" s="55"/>
      <c r="AM106" s="56"/>
      <c r="AN106" s="57"/>
      <c r="AO106" s="57"/>
      <c r="AP106" s="84" t="s">
        <v>32</v>
      </c>
      <c r="AQ106" s="87">
        <v>0.1681</v>
      </c>
      <c r="AR106" s="86" t="s">
        <v>31</v>
      </c>
      <c r="AS106" s="87" t="e">
        <f>VLOOKUP(Z66,AJ72:AK85,2,FALSE)</f>
        <v>#N/A</v>
      </c>
      <c r="AT106" s="88" t="e">
        <f>AQ106*AS106</f>
        <v>#N/A</v>
      </c>
      <c r="AV106" s="84" t="s">
        <v>32</v>
      </c>
      <c r="AW106" s="87">
        <v>0.1666</v>
      </c>
      <c r="AX106" s="86" t="s">
        <v>31</v>
      </c>
      <c r="AY106" s="87" t="e">
        <f>VLOOKUP(Z66,AJ72:AK85,2,FALSE)</f>
        <v>#N/A</v>
      </c>
      <c r="AZ106" s="88" t="e">
        <f>AW106*AY106</f>
        <v>#N/A</v>
      </c>
      <c r="BB106" s="84" t="s">
        <v>32</v>
      </c>
      <c r="BC106" s="87">
        <v>0.2081</v>
      </c>
      <c r="BD106" s="86" t="s">
        <v>31</v>
      </c>
      <c r="BE106" s="87" t="e">
        <f>VLOOKUP(Z66,AJ72:AK85,2,FALSE)</f>
        <v>#N/A</v>
      </c>
      <c r="BF106" s="88" t="e">
        <f>BC106*BE106</f>
        <v>#N/A</v>
      </c>
      <c r="BH106" s="84" t="s">
        <v>32</v>
      </c>
      <c r="BI106" s="87">
        <v>0.2066</v>
      </c>
      <c r="BJ106" s="86" t="s">
        <v>31</v>
      </c>
      <c r="BK106" s="87" t="e">
        <f>VLOOKUP(Z66,AJ72:AK85,2,FALSE)</f>
        <v>#N/A</v>
      </c>
      <c r="BL106" s="88" t="e">
        <f>BI106*BK106</f>
        <v>#N/A</v>
      </c>
    </row>
    <row r="107" spans="26:64" ht="13.5" thickBot="1">
      <c r="Z107" s="70" t="s">
        <v>3</v>
      </c>
      <c r="AA107" s="63">
        <v>4.44</v>
      </c>
      <c r="AB107" s="55">
        <v>4.27</v>
      </c>
      <c r="AC107" s="50"/>
      <c r="AD107" s="51"/>
      <c r="AE107" s="52"/>
      <c r="AF107" s="53"/>
      <c r="AG107" s="53"/>
      <c r="AH107" s="58"/>
      <c r="AI107" s="6"/>
      <c r="AJ107" s="6"/>
      <c r="AK107" s="54"/>
      <c r="AL107" s="55"/>
      <c r="AM107" s="59"/>
      <c r="AN107" s="57"/>
      <c r="AO107" s="57"/>
      <c r="AP107" s="90" t="s">
        <v>42</v>
      </c>
      <c r="AQ107" s="91">
        <f>SUM(AQ106)</f>
        <v>0.1681</v>
      </c>
      <c r="AR107" s="6"/>
      <c r="AS107" s="92" t="s">
        <v>40</v>
      </c>
      <c r="AT107" s="93" t="e">
        <f>SUM(AT106)</f>
        <v>#N/A</v>
      </c>
      <c r="AV107" s="90" t="s">
        <v>42</v>
      </c>
      <c r="AW107" s="91">
        <f>SUM(AW106)</f>
        <v>0.1666</v>
      </c>
      <c r="AX107" s="6"/>
      <c r="AY107" s="92" t="s">
        <v>40</v>
      </c>
      <c r="AZ107" s="93" t="e">
        <f>SUM(AZ106)</f>
        <v>#N/A</v>
      </c>
      <c r="BB107" s="90" t="s">
        <v>42</v>
      </c>
      <c r="BC107" s="91">
        <f>SUM(BC106)</f>
        <v>0.2081</v>
      </c>
      <c r="BD107" s="6"/>
      <c r="BE107" s="92" t="s">
        <v>40</v>
      </c>
      <c r="BF107" s="93" t="e">
        <f>SUM(BF106)</f>
        <v>#N/A</v>
      </c>
      <c r="BH107" s="90" t="s">
        <v>42</v>
      </c>
      <c r="BI107" s="91">
        <f>SUM(BI106)</f>
        <v>0.2066</v>
      </c>
      <c r="BJ107" s="6"/>
      <c r="BK107" s="92" t="s">
        <v>40</v>
      </c>
      <c r="BL107" s="93" t="e">
        <f>SUM(BL106)</f>
        <v>#N/A</v>
      </c>
    </row>
    <row r="108" spans="26:64" ht="12.75">
      <c r="Z108" s="55" t="s">
        <v>4</v>
      </c>
      <c r="AA108" s="63">
        <v>4.93</v>
      </c>
      <c r="AB108" s="55">
        <v>4.65</v>
      </c>
      <c r="AC108" s="50"/>
      <c r="AD108" s="51"/>
      <c r="AE108" s="52"/>
      <c r="AF108" s="53"/>
      <c r="AG108" s="53"/>
      <c r="AH108" s="6"/>
      <c r="AI108" s="58"/>
      <c r="AJ108" s="6"/>
      <c r="AK108" s="54"/>
      <c r="AL108" s="55"/>
      <c r="AM108" s="56"/>
      <c r="AN108" s="57"/>
      <c r="AO108" s="57"/>
      <c r="AP108" s="101"/>
      <c r="AQ108" s="168" t="s">
        <v>43</v>
      </c>
      <c r="AR108" s="168"/>
      <c r="AS108" s="168"/>
      <c r="AT108" s="102"/>
      <c r="AV108" s="101"/>
      <c r="AW108" s="168" t="s">
        <v>43</v>
      </c>
      <c r="AX108" s="168"/>
      <c r="AY108" s="168"/>
      <c r="AZ108" s="102"/>
      <c r="BB108" s="101"/>
      <c r="BC108" s="168" t="s">
        <v>43</v>
      </c>
      <c r="BD108" s="168"/>
      <c r="BE108" s="168"/>
      <c r="BF108" s="102"/>
      <c r="BH108" s="101"/>
      <c r="BI108" s="168" t="s">
        <v>43</v>
      </c>
      <c r="BJ108" s="168"/>
      <c r="BK108" s="168"/>
      <c r="BL108" s="102"/>
    </row>
    <row r="109" spans="26:64" ht="12.75">
      <c r="Z109" s="70" t="s">
        <v>5</v>
      </c>
      <c r="AA109" s="63">
        <v>4.05</v>
      </c>
      <c r="AB109" s="55">
        <v>3.93</v>
      </c>
      <c r="AC109" s="50"/>
      <c r="AD109" s="51"/>
      <c r="AE109" s="52"/>
      <c r="AF109" s="53"/>
      <c r="AG109" s="53"/>
      <c r="AH109" s="58"/>
      <c r="AI109" s="58"/>
      <c r="AJ109" s="6"/>
      <c r="AK109" s="54"/>
      <c r="AL109" s="55"/>
      <c r="AM109" s="56"/>
      <c r="AN109" s="57"/>
      <c r="AO109" s="57"/>
      <c r="AP109" s="78" t="s">
        <v>45</v>
      </c>
      <c r="AQ109" s="103"/>
      <c r="AR109" s="103"/>
      <c r="AS109" s="104" t="s">
        <v>46</v>
      </c>
      <c r="AT109" s="105" t="e">
        <f>(AT104+AT107)/(AQ104+AQ107)</f>
        <v>#N/A</v>
      </c>
      <c r="AV109" s="78" t="s">
        <v>45</v>
      </c>
      <c r="AW109" s="103"/>
      <c r="AX109" s="103"/>
      <c r="AY109" s="104" t="s">
        <v>46</v>
      </c>
      <c r="AZ109" s="105" t="e">
        <f>(AZ104+AZ107)/(AW104+AW107)</f>
        <v>#N/A</v>
      </c>
      <c r="BB109" s="78" t="s">
        <v>45</v>
      </c>
      <c r="BC109" s="103"/>
      <c r="BD109" s="103"/>
      <c r="BE109" s="104" t="s">
        <v>46</v>
      </c>
      <c r="BF109" s="105" t="e">
        <f>(BF104+BF107)/(BC104+BC107)</f>
        <v>#N/A</v>
      </c>
      <c r="BH109" s="78" t="s">
        <v>45</v>
      </c>
      <c r="BI109" s="103"/>
      <c r="BJ109" s="103"/>
      <c r="BK109" s="104" t="s">
        <v>46</v>
      </c>
      <c r="BL109" s="105" t="e">
        <f>(BL104+BL107)/(BI104+BI107)</f>
        <v>#N/A</v>
      </c>
    </row>
    <row r="110" spans="26:64" ht="13.5" thickBot="1">
      <c r="Z110" s="70" t="s">
        <v>6</v>
      </c>
      <c r="AA110" s="63">
        <v>4.93</v>
      </c>
      <c r="AB110" s="55">
        <v>4.65</v>
      </c>
      <c r="AC110" s="50"/>
      <c r="AD110" s="51"/>
      <c r="AE110" s="52"/>
      <c r="AF110" s="53"/>
      <c r="AG110" s="53"/>
      <c r="AH110" s="58"/>
      <c r="AI110" s="58"/>
      <c r="AJ110" s="6"/>
      <c r="AK110" s="54"/>
      <c r="AL110" s="55"/>
      <c r="AM110" s="59"/>
      <c r="AN110" s="57"/>
      <c r="AO110" s="57"/>
      <c r="AP110" s="106"/>
      <c r="AQ110" s="169" t="s">
        <v>44</v>
      </c>
      <c r="AR110" s="169"/>
      <c r="AS110" s="169"/>
      <c r="AT110" s="107"/>
      <c r="AV110" s="106"/>
      <c r="AW110" s="169" t="s">
        <v>44</v>
      </c>
      <c r="AX110" s="169"/>
      <c r="AY110" s="169"/>
      <c r="AZ110" s="107"/>
      <c r="BB110" s="106"/>
      <c r="BC110" s="169" t="s">
        <v>44</v>
      </c>
      <c r="BD110" s="169"/>
      <c r="BE110" s="169"/>
      <c r="BF110" s="107"/>
      <c r="BH110" s="106"/>
      <c r="BI110" s="169" t="s">
        <v>44</v>
      </c>
      <c r="BJ110" s="169"/>
      <c r="BK110" s="169"/>
      <c r="BL110" s="107"/>
    </row>
    <row r="111" spans="26:41" ht="13.5" thickTop="1">
      <c r="Z111" s="70" t="s">
        <v>7</v>
      </c>
      <c r="AA111" s="63">
        <v>4.05</v>
      </c>
      <c r="AB111" s="55">
        <v>3.93</v>
      </c>
      <c r="AC111" s="50"/>
      <c r="AD111" s="51"/>
      <c r="AE111" s="52"/>
      <c r="AF111" s="53"/>
      <c r="AG111" s="53"/>
      <c r="AH111" s="58"/>
      <c r="AI111" s="58"/>
      <c r="AJ111" s="6"/>
      <c r="AK111" s="54"/>
      <c r="AL111" s="55"/>
      <c r="AM111" s="56"/>
      <c r="AN111" s="57"/>
      <c r="AO111" s="57"/>
    </row>
    <row r="112" spans="26:41" ht="12.75">
      <c r="Z112" s="70" t="s">
        <v>8</v>
      </c>
      <c r="AA112" s="63">
        <v>4.93</v>
      </c>
      <c r="AB112" s="55">
        <v>4.65</v>
      </c>
      <c r="AC112" s="50"/>
      <c r="AD112" s="51"/>
      <c r="AE112" s="52"/>
      <c r="AF112" s="53"/>
      <c r="AG112" s="53"/>
      <c r="AH112" s="58"/>
      <c r="AI112" s="58"/>
      <c r="AJ112" s="6"/>
      <c r="AK112" s="54"/>
      <c r="AL112" s="55"/>
      <c r="AM112" s="59"/>
      <c r="AN112" s="57"/>
      <c r="AO112" s="57"/>
    </row>
    <row r="113" spans="26:41" ht="12.75">
      <c r="Z113" s="70" t="s">
        <v>9</v>
      </c>
      <c r="AA113" s="63">
        <v>4.05</v>
      </c>
      <c r="AB113" s="55">
        <v>3.93</v>
      </c>
      <c r="AC113" s="50"/>
      <c r="AD113" s="51"/>
      <c r="AE113" s="52"/>
      <c r="AF113" s="53"/>
      <c r="AG113" s="53"/>
      <c r="AH113" s="58"/>
      <c r="AI113" s="58"/>
      <c r="AJ113" s="6"/>
      <c r="AK113" s="54"/>
      <c r="AL113" s="55"/>
      <c r="AM113" s="59"/>
      <c r="AN113" s="57"/>
      <c r="AO113" s="57"/>
    </row>
    <row r="114" spans="26:41" ht="12.75">
      <c r="Z114" s="70" t="s">
        <v>10</v>
      </c>
      <c r="AA114" s="63">
        <v>4.93</v>
      </c>
      <c r="AB114" s="55">
        <v>4.65</v>
      </c>
      <c r="AC114" s="50"/>
      <c r="AD114" s="51"/>
      <c r="AE114" s="52"/>
      <c r="AF114" s="53"/>
      <c r="AG114" s="53"/>
      <c r="AH114" s="55"/>
      <c r="AI114" s="55"/>
      <c r="AJ114" s="6"/>
      <c r="AK114" s="54"/>
      <c r="AL114" s="55"/>
      <c r="AM114" s="56"/>
      <c r="AN114" s="57"/>
      <c r="AO114" s="57"/>
    </row>
    <row r="115" spans="26:41" ht="12.75">
      <c r="Z115" s="70" t="s">
        <v>11</v>
      </c>
      <c r="AA115" s="63">
        <v>4.05</v>
      </c>
      <c r="AB115" s="55">
        <v>3.93</v>
      </c>
      <c r="AC115" s="50"/>
      <c r="AD115" s="51"/>
      <c r="AE115" s="52"/>
      <c r="AF115" s="53"/>
      <c r="AG115" s="53"/>
      <c r="AH115" s="58"/>
      <c r="AI115" s="55"/>
      <c r="AJ115" s="6"/>
      <c r="AK115" s="54"/>
      <c r="AL115" s="55"/>
      <c r="AM115" s="56"/>
      <c r="AN115" s="57"/>
      <c r="AO115" s="57"/>
    </row>
    <row r="116" spans="26:41" ht="12.75">
      <c r="Z116" s="70" t="s">
        <v>12</v>
      </c>
      <c r="AA116" s="63">
        <v>4.93</v>
      </c>
      <c r="AB116" s="55">
        <v>4.65</v>
      </c>
      <c r="AC116" s="50"/>
      <c r="AD116" s="51"/>
      <c r="AE116" s="52"/>
      <c r="AF116" s="53"/>
      <c r="AG116" s="53"/>
      <c r="AH116" s="58"/>
      <c r="AI116" s="58"/>
      <c r="AJ116" s="6"/>
      <c r="AK116" s="54"/>
      <c r="AL116" s="55"/>
      <c r="AM116" s="59"/>
      <c r="AN116" s="57"/>
      <c r="AO116" s="57"/>
    </row>
    <row r="117" spans="26:41" ht="13.5" thickBot="1">
      <c r="Z117" s="94" t="s">
        <v>13</v>
      </c>
      <c r="AA117" s="95">
        <v>4.05</v>
      </c>
      <c r="AB117" s="110">
        <v>3.93</v>
      </c>
      <c r="AC117" s="50"/>
      <c r="AD117" s="51"/>
      <c r="AE117" s="52"/>
      <c r="AF117" s="53"/>
      <c r="AG117" s="53"/>
      <c r="AH117" s="58"/>
      <c r="AI117" s="58"/>
      <c r="AJ117" s="6"/>
      <c r="AK117" s="54"/>
      <c r="AL117" s="55"/>
      <c r="AM117" s="59"/>
      <c r="AN117" s="57"/>
      <c r="AO117" s="57"/>
    </row>
    <row r="118" spans="29:41" ht="12.75">
      <c r="AC118" s="47"/>
      <c r="AD118" s="6"/>
      <c r="AE118" s="6"/>
      <c r="AF118" s="6"/>
      <c r="AG118" s="6"/>
      <c r="AH118" s="6"/>
      <c r="AI118" s="6"/>
      <c r="AJ118" s="6"/>
      <c r="AK118" s="6"/>
      <c r="AL118" s="55"/>
      <c r="AM118" s="56"/>
      <c r="AN118" s="6"/>
      <c r="AO118" s="6"/>
    </row>
    <row r="119" spans="29:41" ht="12.75">
      <c r="AC119" s="47"/>
      <c r="AD119" s="6"/>
      <c r="AE119" s="6"/>
      <c r="AF119" s="6"/>
      <c r="AG119" s="6"/>
      <c r="AH119" s="6"/>
      <c r="AI119" s="6"/>
      <c r="AJ119" s="6"/>
      <c r="AK119" s="6"/>
      <c r="AL119" s="55"/>
      <c r="AM119" s="59"/>
      <c r="AN119" s="6"/>
      <c r="AO119" s="6"/>
    </row>
    <row r="120" spans="29:41" ht="12.75">
      <c r="AC120" s="47"/>
      <c r="AD120" s="6"/>
      <c r="AE120" s="6"/>
      <c r="AF120" s="6"/>
      <c r="AG120" s="6"/>
      <c r="AH120" s="48"/>
      <c r="AI120" s="6"/>
      <c r="AJ120" s="6"/>
      <c r="AK120" s="6"/>
      <c r="AL120" s="55"/>
      <c r="AM120" s="59"/>
      <c r="AN120" s="6"/>
      <c r="AO120" s="6"/>
    </row>
    <row r="121" spans="29:41" ht="12.75">
      <c r="AC121" s="47"/>
      <c r="AD121" s="6"/>
      <c r="AE121" s="6"/>
      <c r="AF121" s="6"/>
      <c r="AG121" s="6"/>
      <c r="AH121" s="6"/>
      <c r="AI121" s="6"/>
      <c r="AJ121" s="6"/>
      <c r="AK121" s="6"/>
      <c r="AL121" s="55"/>
      <c r="AM121" s="59"/>
      <c r="AN121" s="6"/>
      <c r="AO121" s="6"/>
    </row>
    <row r="122" spans="29:41" ht="12.75">
      <c r="AC122" s="47"/>
      <c r="AD122" s="6"/>
      <c r="AE122" s="6"/>
      <c r="AF122" s="6"/>
      <c r="AG122" s="6"/>
      <c r="AH122" s="6"/>
      <c r="AI122" s="6"/>
      <c r="AJ122" s="6"/>
      <c r="AK122" s="6"/>
      <c r="AL122" s="55"/>
      <c r="AM122" s="59"/>
      <c r="AN122" s="6"/>
      <c r="AO122" s="6"/>
    </row>
    <row r="123" spans="29:41" ht="12.75">
      <c r="AC123" s="47"/>
      <c r="AD123" s="6"/>
      <c r="AE123" s="6"/>
      <c r="AF123" s="6"/>
      <c r="AG123" s="6"/>
      <c r="AH123" s="6"/>
      <c r="AI123" s="6"/>
      <c r="AJ123" s="6"/>
      <c r="AK123" s="6"/>
      <c r="AL123" s="55"/>
      <c r="AM123" s="59"/>
      <c r="AN123" s="6"/>
      <c r="AO123" s="6"/>
    </row>
    <row r="124" spans="29:41" ht="12.75">
      <c r="AC124" s="47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9:41" ht="12.75">
      <c r="AC125" s="47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9:41" ht="12.75">
      <c r="AC126" s="47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9:41" ht="12.75">
      <c r="AC127" s="47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9:41" ht="12.75">
      <c r="AC128" s="47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9:41" ht="12.75">
      <c r="AC129" s="47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</sheetData>
  <sheetProtection password="D073" sheet="1" objects="1" scenarios="1" selectLockedCells="1"/>
  <mergeCells count="102">
    <mergeCell ref="AJ103:AK103"/>
    <mergeCell ref="AL103:AM103"/>
    <mergeCell ref="AJ70:AK70"/>
    <mergeCell ref="AL70:AM70"/>
    <mergeCell ref="H21:I21"/>
    <mergeCell ref="L19:P21"/>
    <mergeCell ref="L27:P30"/>
    <mergeCell ref="L26:M26"/>
    <mergeCell ref="L22:M24"/>
    <mergeCell ref="BJ105:BK105"/>
    <mergeCell ref="BC108:BE108"/>
    <mergeCell ref="Z69:AM69"/>
    <mergeCell ref="BB83:BC83"/>
    <mergeCell ref="BD83:BE83"/>
    <mergeCell ref="AP69:AZ69"/>
    <mergeCell ref="BB69:BL69"/>
    <mergeCell ref="BH83:BI83"/>
    <mergeCell ref="BJ83:BK83"/>
    <mergeCell ref="BB72:BF72"/>
    <mergeCell ref="BB98:BC98"/>
    <mergeCell ref="BD98:BE98"/>
    <mergeCell ref="BH98:BI98"/>
    <mergeCell ref="BJ98:BK98"/>
    <mergeCell ref="BI108:BK108"/>
    <mergeCell ref="BC110:BE110"/>
    <mergeCell ref="BI110:BK110"/>
    <mergeCell ref="BB105:BC105"/>
    <mergeCell ref="BD105:BE105"/>
    <mergeCell ref="BH105:BI105"/>
    <mergeCell ref="BB93:BF93"/>
    <mergeCell ref="BH93:BL93"/>
    <mergeCell ref="BB94:BF94"/>
    <mergeCell ref="BH94:BL94"/>
    <mergeCell ref="BB97:BF97"/>
    <mergeCell ref="BH95:BL95"/>
    <mergeCell ref="BB96:BF96"/>
    <mergeCell ref="BH96:BL96"/>
    <mergeCell ref="BB95:BF95"/>
    <mergeCell ref="BH97:BL97"/>
    <mergeCell ref="BB92:BF92"/>
    <mergeCell ref="BH92:BL92"/>
    <mergeCell ref="BC86:BE86"/>
    <mergeCell ref="BI86:BK86"/>
    <mergeCell ref="BC88:BE88"/>
    <mergeCell ref="BI88:BK88"/>
    <mergeCell ref="BB91:BF91"/>
    <mergeCell ref="BH73:BI73"/>
    <mergeCell ref="BJ73:BK73"/>
    <mergeCell ref="BB71:BF71"/>
    <mergeCell ref="BH71:BL71"/>
    <mergeCell ref="BD73:BE73"/>
    <mergeCell ref="BH91:BL91"/>
    <mergeCell ref="BH72:BL72"/>
    <mergeCell ref="BB73:BC73"/>
    <mergeCell ref="AV71:AZ71"/>
    <mergeCell ref="AP71:AT71"/>
    <mergeCell ref="AW108:AY108"/>
    <mergeCell ref="AW110:AY110"/>
    <mergeCell ref="AV98:AW98"/>
    <mergeCell ref="AX98:AY98"/>
    <mergeCell ref="AV105:AW105"/>
    <mergeCell ref="AX105:AY105"/>
    <mergeCell ref="AV95:AZ95"/>
    <mergeCell ref="AV96:AZ96"/>
    <mergeCell ref="AP105:AQ105"/>
    <mergeCell ref="AR105:AS105"/>
    <mergeCell ref="AQ108:AS108"/>
    <mergeCell ref="AQ110:AS110"/>
    <mergeCell ref="AV97:AZ97"/>
    <mergeCell ref="AV91:AZ91"/>
    <mergeCell ref="AV92:AZ92"/>
    <mergeCell ref="AV93:AZ93"/>
    <mergeCell ref="AV94:AZ94"/>
    <mergeCell ref="AP98:AQ98"/>
    <mergeCell ref="AR98:AS98"/>
    <mergeCell ref="AP93:AT93"/>
    <mergeCell ref="AP94:AT94"/>
    <mergeCell ref="AP95:AT95"/>
    <mergeCell ref="AP96:AT96"/>
    <mergeCell ref="AP97:AT97"/>
    <mergeCell ref="AW86:AY86"/>
    <mergeCell ref="AW88:AY88"/>
    <mergeCell ref="AP91:AT91"/>
    <mergeCell ref="AP92:AT92"/>
    <mergeCell ref="AQ86:AS86"/>
    <mergeCell ref="AQ88:AS88"/>
    <mergeCell ref="AV72:AZ72"/>
    <mergeCell ref="AV73:AW73"/>
    <mergeCell ref="AX73:AY73"/>
    <mergeCell ref="AP83:AQ83"/>
    <mergeCell ref="AR83:AS83"/>
    <mergeCell ref="AV83:AW83"/>
    <mergeCell ref="AX83:AY83"/>
    <mergeCell ref="AP72:AT72"/>
    <mergeCell ref="AR73:AS73"/>
    <mergeCell ref="AP73:AQ73"/>
    <mergeCell ref="C10:E11"/>
    <mergeCell ref="E14:F14"/>
    <mergeCell ref="H12:P17"/>
    <mergeCell ref="H7:K7"/>
    <mergeCell ref="O10:P10"/>
    <mergeCell ref="D16:E16"/>
  </mergeCells>
  <printOptions horizontalCentered="1" verticalCentered="1"/>
  <pageMargins left="0.35433070866141736" right="0.4330708661417323" top="0.984251968503937" bottom="0.6692913385826772" header="0.984251968503937" footer="0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Antonio Tocino Olarte</dc:creator>
  <cp:keywords/>
  <dc:description/>
  <cp:lastModifiedBy>Juan Antonio Tocino Olarte</cp:lastModifiedBy>
  <cp:lastPrinted>2012-10-03T17:41:47Z</cp:lastPrinted>
  <dcterms:created xsi:type="dcterms:W3CDTF">2012-09-13T06:06:56Z</dcterms:created>
  <dcterms:modified xsi:type="dcterms:W3CDTF">2014-02-12T22:47:03Z</dcterms:modified>
  <cp:category/>
  <cp:version/>
  <cp:contentType/>
  <cp:contentStatus/>
</cp:coreProperties>
</file>